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697北京市丰台区警备东路6号一区\"/>
    </mc:Choice>
  </mc:AlternateContent>
  <bookViews>
    <workbookView xWindow="0" yWindow="0" windowWidth="30720" windowHeight="1368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2)" sheetId="71" r:id="rId23"/>
    <sheet name="Sheet1" sheetId="70" state="hidden" r:id="rId24"/>
    <sheet name="比较法-商业" sheetId="33" state="hidden" r:id="rId25"/>
    <sheet name="商业案例" sheetId="6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办公案例" sheetId="64" state="hidden" r:id="rId4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E5" i="21"/>
  <c r="B39" i="71"/>
  <c r="B38" i="71"/>
  <c r="B37" i="71"/>
  <c r="B36" i="71"/>
  <c r="B35" i="71"/>
  <c r="B34" i="71"/>
  <c r="B33" i="71"/>
  <c r="I47" i="21" s="1"/>
  <c r="B32" i="71"/>
  <c r="B31" i="71"/>
  <c r="B30" i="71"/>
  <c r="B29" i="71"/>
  <c r="B28" i="71"/>
  <c r="B27" i="71"/>
  <c r="B26" i="71"/>
  <c r="B25" i="71"/>
  <c r="B24" i="71"/>
  <c r="B23" i="71"/>
  <c r="B22" i="71"/>
  <c r="B21" i="71"/>
  <c r="B20" i="71"/>
  <c r="B19" i="71"/>
  <c r="G47" i="21" s="1"/>
  <c r="B18" i="71"/>
  <c r="B17" i="71"/>
  <c r="B16" i="71"/>
  <c r="B15" i="71"/>
  <c r="B14" i="71"/>
  <c r="B13" i="71"/>
  <c r="B12" i="71"/>
  <c r="B11" i="71"/>
  <c r="B10" i="71"/>
  <c r="E47" i="21" s="1"/>
  <c r="B9" i="71"/>
  <c r="B8" i="71"/>
  <c r="B7" i="71"/>
  <c r="B6" i="71"/>
  <c r="B5" i="71"/>
  <c r="B4" i="71"/>
  <c r="B3" i="71"/>
  <c r="E131" i="21" l="1"/>
  <c r="E130" i="21"/>
  <c r="D130" i="21"/>
  <c r="C130" i="21"/>
  <c r="C126" i="21" l="1"/>
  <c r="I37" i="21"/>
  <c r="G37" i="21"/>
  <c r="E37" i="2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s="1"/>
  <c r="E14" i="59" s="1"/>
  <c r="E13" i="59" s="1"/>
  <c r="E12" i="59" s="1"/>
  <c r="E11" i="59" s="1"/>
  <c r="E10" i="59" s="1"/>
  <c r="E9" i="59" s="1"/>
  <c r="E8" i="59" s="1"/>
  <c r="F16" i="59"/>
  <c r="V16" i="59" s="1"/>
  <c r="C16" i="59"/>
  <c r="C15" i="59" s="1"/>
  <c r="A2" i="50"/>
  <c r="D16" i="59"/>
  <c r="K60" i="15"/>
  <c r="P59" i="15" s="1"/>
  <c r="A127" i="57"/>
  <c r="A123" i="9"/>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E55" i="59" s="1"/>
  <c r="E56" i="59" s="1"/>
  <c r="U56"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E51" i="59" s="1"/>
  <c r="E52" i="59" s="1"/>
  <c r="U52"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B30" i="59"/>
  <c r="B31" i="59" s="1"/>
  <c r="B32" i="59" s="1"/>
  <c r="S32"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AA24" i="59" s="1"/>
  <c r="O24" i="59"/>
  <c r="N24" i="59"/>
  <c r="X24" i="59" s="1"/>
  <c r="Q23" i="59"/>
  <c r="P23" i="59"/>
  <c r="AA23" i="59" s="1"/>
  <c r="O23" i="59"/>
  <c r="N23" i="59"/>
  <c r="X23" i="59" s="1"/>
  <c r="Q22" i="59"/>
  <c r="P22" i="59"/>
  <c r="AA22" i="59" s="1"/>
  <c r="O22" i="59"/>
  <c r="N22" i="59"/>
  <c r="X22" i="59" s="1"/>
  <c r="Q21" i="59"/>
  <c r="P21" i="59"/>
  <c r="AA21" i="59" s="1"/>
  <c r="O21" i="59"/>
  <c r="N21" i="59"/>
  <c r="B22" i="59" s="1"/>
  <c r="B23" i="59" s="1"/>
  <c r="B24" i="59" s="1"/>
  <c r="S24" i="59" s="1"/>
  <c r="D21" i="59"/>
  <c r="O20" i="59"/>
  <c r="N20" i="59"/>
  <c r="X17" i="59" s="1"/>
  <c r="C20" i="59"/>
  <c r="T20" i="59" s="1"/>
  <c r="Y17" i="59"/>
  <c r="Z17" i="59" s="1"/>
  <c r="P20" i="59"/>
  <c r="E20" i="59" s="1"/>
  <c r="U64" i="59"/>
  <c r="E63" i="59"/>
  <c r="E62" i="59" s="1"/>
  <c r="Q20" i="59"/>
  <c r="T60" i="59"/>
  <c r="T64" i="59"/>
  <c r="C63" i="59"/>
  <c r="C62" i="59" s="1"/>
  <c r="D62" i="59" s="1"/>
  <c r="C67" i="59"/>
  <c r="D67" i="59" s="1"/>
  <c r="C71" i="59"/>
  <c r="D71" i="59" s="1"/>
  <c r="D72" i="59"/>
  <c r="F20" i="59"/>
  <c r="F19" i="59" s="1"/>
  <c r="F18" i="59" s="1"/>
  <c r="C19" i="59"/>
  <c r="D19" i="59" s="1"/>
  <c r="Z25" i="40"/>
  <c r="Q25" i="40"/>
  <c r="E94" i="40"/>
  <c r="F94" i="40" s="1"/>
  <c r="G94" i="40" s="1"/>
  <c r="D94" i="40"/>
  <c r="H25" i="40"/>
  <c r="U25" i="40" s="1"/>
  <c r="F25" i="40"/>
  <c r="AA25" i="40" s="1"/>
  <c r="C25" i="40"/>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G100" i="43"/>
  <c r="M100" i="43"/>
  <c r="H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c r="L43" i="47"/>
  <c r="M43" i="47"/>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c r="J31" i="47"/>
  <c r="I31" i="47" s="1"/>
  <c r="D31" i="47" s="1"/>
  <c r="L30" i="47"/>
  <c r="M30" i="47" s="1"/>
  <c r="J30" i="47"/>
  <c r="I30" i="47"/>
  <c r="L29" i="47"/>
  <c r="M29" i="47"/>
  <c r="J29" i="47"/>
  <c r="I29" i="47"/>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c r="L17" i="47"/>
  <c r="M17" i="47" s="1"/>
  <c r="J17" i="47"/>
  <c r="I17" i="47" s="1"/>
  <c r="L16" i="47"/>
  <c r="M16" i="47"/>
  <c r="J16" i="47"/>
  <c r="I16" i="47"/>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c r="L11" i="47"/>
  <c r="M11" i="47"/>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W31" i="35" s="1"/>
  <c r="H31" i="35"/>
  <c r="U31" i="35" s="1"/>
  <c r="F31" i="35"/>
  <c r="AA31" i="35" s="1"/>
  <c r="D87" i="35"/>
  <c r="E87" i="35" s="1"/>
  <c r="F87" i="35" s="1"/>
  <c r="G87" i="35" s="1"/>
  <c r="H87" i="35" s="1"/>
  <c r="I87" i="35" s="1"/>
  <c r="J87" i="35" s="1"/>
  <c r="K87" i="35" s="1"/>
  <c r="L87" i="35" s="1"/>
  <c r="M87" i="35" s="1"/>
  <c r="H29" i="35"/>
  <c r="AB29" i="35" s="1"/>
  <c r="H34" i="37"/>
  <c r="AB34" i="37" s="1"/>
  <c r="D101" i="37"/>
  <c r="F34" i="37"/>
  <c r="AA34" i="37"/>
  <c r="D99" i="37"/>
  <c r="E99" i="37" s="1"/>
  <c r="F99" i="37" s="1"/>
  <c r="G99" i="37" s="1"/>
  <c r="H42" i="34"/>
  <c r="U42" i="34" s="1"/>
  <c r="J42" i="34"/>
  <c r="F42" i="34"/>
  <c r="J38" i="34"/>
  <c r="AC38" i="34" s="1"/>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c r="AC31" i="40" s="1"/>
  <c r="D100" i="40"/>
  <c r="E100" i="40"/>
  <c r="F100" i="40" s="1"/>
  <c r="G100" i="40" s="1"/>
  <c r="H100" i="40" s="1"/>
  <c r="I100" i="40" s="1"/>
  <c r="J100" i="40" s="1"/>
  <c r="K100" i="40" s="1"/>
  <c r="L100" i="40" s="1"/>
  <c r="M100" i="40" s="1"/>
  <c r="D98" i="40"/>
  <c r="E98" i="40" s="1"/>
  <c r="D96" i="40"/>
  <c r="E96" i="40"/>
  <c r="B95" i="40"/>
  <c r="D92" i="40"/>
  <c r="E92" i="40" s="1"/>
  <c r="F92" i="40" s="1"/>
  <c r="G92" i="40" s="1"/>
  <c r="D90" i="40"/>
  <c r="E90" i="40"/>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AC39" i="40"/>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W8" i="40" s="1"/>
  <c r="H8" i="40"/>
  <c r="AB8" i="40" s="1"/>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c r="I107" i="39" s="1"/>
  <c r="J107" i="39" s="1"/>
  <c r="K107" i="39" s="1"/>
  <c r="L107" i="39" s="1"/>
  <c r="M107" i="39" s="1"/>
  <c r="D105" i="39"/>
  <c r="E105" i="39" s="1"/>
  <c r="F105" i="39" s="1"/>
  <c r="G105" i="39" s="1"/>
  <c r="H105" i="39" s="1"/>
  <c r="I105" i="39" s="1"/>
  <c r="J105" i="39" s="1"/>
  <c r="K105" i="39"/>
  <c r="L105" i="39" s="1"/>
  <c r="M105" i="39" s="1"/>
  <c r="D103" i="39"/>
  <c r="D99" i="39"/>
  <c r="E99" i="39" s="1"/>
  <c r="F99" i="39" s="1"/>
  <c r="G99" i="39" s="1"/>
  <c r="Q39" i="39"/>
  <c r="Z39" i="39"/>
  <c r="Q40" i="39"/>
  <c r="Z40" i="39"/>
  <c r="Q41" i="39"/>
  <c r="Z41" i="39"/>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c r="J39" i="39"/>
  <c r="AC39" i="39"/>
  <c r="F39" i="39"/>
  <c r="AA39" i="39" s="1"/>
  <c r="Q35" i="39"/>
  <c r="Z35" i="39" s="1"/>
  <c r="Q34" i="39"/>
  <c r="Z34" i="39" s="1"/>
  <c r="Q32" i="39"/>
  <c r="Z32" i="39" s="1"/>
  <c r="Q31" i="39"/>
  <c r="Z31" i="39" s="1"/>
  <c r="Q29" i="39"/>
  <c r="Z29" i="39"/>
  <c r="Q25" i="39"/>
  <c r="Z25" i="39" s="1"/>
  <c r="Q23" i="39"/>
  <c r="Z23" i="39" s="1"/>
  <c r="Q21" i="39"/>
  <c r="Z21" i="39" s="1"/>
  <c r="Q19" i="39"/>
  <c r="Z19" i="39" s="1"/>
  <c r="Q17" i="39"/>
  <c r="Z17" i="39"/>
  <c r="Q15" i="39"/>
  <c r="Z15" i="39" s="1"/>
  <c r="Q14" i="39"/>
  <c r="Z14" i="39" s="1"/>
  <c r="Q13" i="39"/>
  <c r="Z13" i="39" s="1"/>
  <c r="Q12" i="39"/>
  <c r="Z12" i="39" s="1"/>
  <c r="H12" i="39"/>
  <c r="Q11" i="39"/>
  <c r="Z11" i="39"/>
  <c r="Q10" i="39"/>
  <c r="Z10" i="39" s="1"/>
  <c r="Q9" i="39"/>
  <c r="Z9" i="39" s="1"/>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Q9" i="37"/>
  <c r="Z9" i="37" s="1"/>
  <c r="J8" i="37"/>
  <c r="W8" i="37" s="1"/>
  <c r="H8" i="37"/>
  <c r="F8" i="37"/>
  <c r="S8" i="37" s="1"/>
  <c r="J31" i="36"/>
  <c r="AC31" i="36" s="1"/>
  <c r="H31" i="36"/>
  <c r="AB31" i="36"/>
  <c r="F31" i="36"/>
  <c r="S31" i="36" s="1"/>
  <c r="M86" i="36"/>
  <c r="L86" i="36"/>
  <c r="K86" i="36"/>
  <c r="J86" i="36"/>
  <c r="I86" i="36"/>
  <c r="H86" i="36"/>
  <c r="G86" i="36"/>
  <c r="F86" i="36"/>
  <c r="E86" i="36"/>
  <c r="D86" i="36"/>
  <c r="C86" i="36"/>
  <c r="D85" i="36"/>
  <c r="E85" i="36" s="1"/>
  <c r="H29" i="36"/>
  <c r="U29" i="36" s="1"/>
  <c r="D81" i="36"/>
  <c r="E81" i="36" s="1"/>
  <c r="F81" i="36" s="1"/>
  <c r="G81" i="36" s="1"/>
  <c r="H81" i="36"/>
  <c r="I81" i="36" s="1"/>
  <c r="J81" i="36" s="1"/>
  <c r="K81" i="36" s="1"/>
  <c r="L81" i="36" s="1"/>
  <c r="M81" i="36" s="1"/>
  <c r="G79" i="36"/>
  <c r="F79" i="36"/>
  <c r="E79" i="36"/>
  <c r="D79" i="36"/>
  <c r="C79" i="36"/>
  <c r="B93" i="36"/>
  <c r="H33" i="36" s="1"/>
  <c r="B91" i="36"/>
  <c r="H32" i="36" s="1"/>
  <c r="B95" i="36"/>
  <c r="H34" i="36"/>
  <c r="U34" i="36" s="1"/>
  <c r="D83" i="36"/>
  <c r="E83" i="36"/>
  <c r="D78" i="36"/>
  <c r="E78" i="36"/>
  <c r="F78" i="36" s="1"/>
  <c r="G78" i="36" s="1"/>
  <c r="H78" i="36" s="1"/>
  <c r="I78" i="36" s="1"/>
  <c r="J78" i="36" s="1"/>
  <c r="K78" i="36" s="1"/>
  <c r="L78" i="36" s="1"/>
  <c r="M78" i="36" s="1"/>
  <c r="B75" i="36"/>
  <c r="B73" i="36"/>
  <c r="B71" i="36"/>
  <c r="J23" i="36" s="1"/>
  <c r="D70" i="36"/>
  <c r="H22" i="36"/>
  <c r="U22" i="36" s="1"/>
  <c r="D68" i="36"/>
  <c r="E68" i="36"/>
  <c r="F68" i="36" s="1"/>
  <c r="G68" i="36" s="1"/>
  <c r="D64" i="36"/>
  <c r="E64" i="36" s="1"/>
  <c r="F64" i="36" s="1"/>
  <c r="G64" i="36" s="1"/>
  <c r="J16" i="36"/>
  <c r="W16" i="36" s="1"/>
  <c r="D62" i="36"/>
  <c r="E62" i="36" s="1"/>
  <c r="F62" i="36" s="1"/>
  <c r="G62" i="36" s="1"/>
  <c r="H14" i="36"/>
  <c r="AB14" i="36"/>
  <c r="B59" i="36"/>
  <c r="J13" i="36" s="1"/>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S23" i="36" s="1"/>
  <c r="Q22" i="36"/>
  <c r="Z22" i="36" s="1"/>
  <c r="J22" i="36"/>
  <c r="AC22" i="36" s="1"/>
  <c r="Q20" i="36"/>
  <c r="Z20" i="36" s="1"/>
  <c r="Q16" i="36"/>
  <c r="Z16" i="36" s="1"/>
  <c r="Q14" i="36"/>
  <c r="Z14" i="36"/>
  <c r="Q13" i="36"/>
  <c r="Z13" i="36"/>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AC36" i="35" s="1"/>
  <c r="H36" i="35"/>
  <c r="AB36" i="35" s="1"/>
  <c r="B99" i="35"/>
  <c r="B97" i="35"/>
  <c r="J34" i="35" s="1"/>
  <c r="AC34" i="35" s="1"/>
  <c r="B77" i="35"/>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H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AC9" i="35" s="1"/>
  <c r="H9" i="35"/>
  <c r="F9" i="35"/>
  <c r="S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c r="M92" i="34" s="1"/>
  <c r="B91" i="34"/>
  <c r="B89" i="34"/>
  <c r="D88" i="34"/>
  <c r="E88" i="34" s="1"/>
  <c r="D86" i="34"/>
  <c r="F23" i="34" s="1"/>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Q11" i="34"/>
  <c r="Z11" i="34" s="1"/>
  <c r="Q10" i="34"/>
  <c r="Z10" i="34"/>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c r="Q44" i="33"/>
  <c r="Z44" i="33"/>
  <c r="Q43" i="33"/>
  <c r="Z43" i="33"/>
  <c r="Q42" i="33"/>
  <c r="Z42" i="33"/>
  <c r="J42" i="33"/>
  <c r="AC42" i="33" s="1"/>
  <c r="Q41" i="33"/>
  <c r="Z41" i="33" s="1"/>
  <c r="Q40" i="33"/>
  <c r="Z40" i="33"/>
  <c r="J40" i="33"/>
  <c r="AC40" i="33"/>
  <c r="H40" i="33"/>
  <c r="AB40" i="33" s="1"/>
  <c r="AA40" i="33"/>
  <c r="Q39" i="33"/>
  <c r="Z39" i="33"/>
  <c r="Q38" i="33"/>
  <c r="Z38" i="33" s="1"/>
  <c r="J38" i="33"/>
  <c r="H38" i="33"/>
  <c r="AB38" i="33" s="1"/>
  <c r="F38" i="33"/>
  <c r="Q37" i="33"/>
  <c r="Z37" i="33"/>
  <c r="Q36" i="33"/>
  <c r="Z36" i="33" s="1"/>
  <c r="Q35" i="33"/>
  <c r="Z35" i="33" s="1"/>
  <c r="H35" i="33"/>
  <c r="AB35" i="33" s="1"/>
  <c r="F35" i="33"/>
  <c r="AA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c r="Q15" i="33"/>
  <c r="Z15" i="33" s="1"/>
  <c r="Q14" i="33"/>
  <c r="Z14" i="33" s="1"/>
  <c r="Q13" i="33"/>
  <c r="Z13" i="33" s="1"/>
  <c r="Q12" i="33"/>
  <c r="Z12" i="33" s="1"/>
  <c r="J12" i="33"/>
  <c r="W12" i="33"/>
  <c r="U12" i="33"/>
  <c r="F12" i="33"/>
  <c r="AA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B126" i="21"/>
  <c r="B98" i="21"/>
  <c r="B96" i="21"/>
  <c r="B94" i="21"/>
  <c r="B92" i="21"/>
  <c r="F28" i="21" s="1"/>
  <c r="AA28" i="21" s="1"/>
  <c r="B90" i="21"/>
  <c r="B74" i="2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s="1"/>
  <c r="Q34" i="21"/>
  <c r="Z34" i="2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43" i="21"/>
  <c r="AB43" i="21" s="1"/>
  <c r="F36" i="21"/>
  <c r="S36"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J26" i="21"/>
  <c r="W26" i="21" s="1"/>
  <c r="F26" i="21"/>
  <c r="S26" i="21" s="1"/>
  <c r="AB41" i="21"/>
  <c r="U41" i="21"/>
  <c r="S41" i="21"/>
  <c r="AA41" i="21"/>
  <c r="W41" i="21"/>
  <c r="F36" i="39"/>
  <c r="S36" i="39" s="1"/>
  <c r="J36" i="39"/>
  <c r="AC36" i="39" s="1"/>
  <c r="S8" i="39"/>
  <c r="U38" i="39"/>
  <c r="H32" i="37"/>
  <c r="AB32" i="37" s="1"/>
  <c r="F39" i="37"/>
  <c r="S39" i="37" s="1"/>
  <c r="W30" i="37"/>
  <c r="F29" i="36"/>
  <c r="F16" i="36"/>
  <c r="S16" i="36" s="1"/>
  <c r="W22" i="36"/>
  <c r="W31" i="36"/>
  <c r="U31" i="36"/>
  <c r="J33" i="36"/>
  <c r="W33" i="36" s="1"/>
  <c r="AB34" i="36"/>
  <c r="H22" i="35"/>
  <c r="AB22" i="35" s="1"/>
  <c r="S32" i="35"/>
  <c r="S31" i="35"/>
  <c r="F36" i="34"/>
  <c r="AA36" i="34" s="1"/>
  <c r="H39" i="33"/>
  <c r="AB39" i="33" s="1"/>
  <c r="F26" i="33"/>
  <c r="AA26" i="33" s="1"/>
  <c r="S40" i="33"/>
  <c r="H39" i="37"/>
  <c r="AB39" i="37" s="1"/>
  <c r="S27" i="35"/>
  <c r="F11" i="40"/>
  <c r="AA11" i="40" s="1"/>
  <c r="S8" i="40"/>
  <c r="H11" i="40"/>
  <c r="AB11" i="40" s="1"/>
  <c r="U9" i="40"/>
  <c r="S34" i="40"/>
  <c r="U34" i="40"/>
  <c r="F42" i="39"/>
  <c r="AA42" i="39"/>
  <c r="F41" i="39"/>
  <c r="AA41" i="39"/>
  <c r="H40" i="39"/>
  <c r="AB40" i="39" s="1"/>
  <c r="H39" i="39"/>
  <c r="S38" i="39"/>
  <c r="H34" i="39"/>
  <c r="AB34" i="39" s="1"/>
  <c r="F109" i="39"/>
  <c r="G109" i="39" s="1"/>
  <c r="H109" i="39" s="1"/>
  <c r="I109" i="39" s="1"/>
  <c r="J109" i="39" s="1"/>
  <c r="K109" i="39" s="1"/>
  <c r="L109" i="39" s="1"/>
  <c r="M109" i="39" s="1"/>
  <c r="H31" i="39"/>
  <c r="F31" i="39"/>
  <c r="AA31" i="39" s="1"/>
  <c r="E103" i="39"/>
  <c r="F103" i="39" s="1"/>
  <c r="G103" i="39" s="1"/>
  <c r="H19" i="39"/>
  <c r="AB19" i="39" s="1"/>
  <c r="F19" i="39"/>
  <c r="S19" i="39" s="1"/>
  <c r="H17" i="39"/>
  <c r="U17" i="39" s="1"/>
  <c r="F17" i="39"/>
  <c r="AA17" i="39" s="1"/>
  <c r="J23" i="40"/>
  <c r="AC23" i="40"/>
  <c r="H42" i="39"/>
  <c r="AB42" i="39" s="1"/>
  <c r="J34" i="39"/>
  <c r="AC34" i="39" s="1"/>
  <c r="J31" i="39"/>
  <c r="W31" i="39" s="1"/>
  <c r="H29" i="39"/>
  <c r="U29" i="39" s="1"/>
  <c r="J19" i="39"/>
  <c r="AC19" i="39"/>
  <c r="J17" i="39"/>
  <c r="W17" i="39" s="1"/>
  <c r="J29" i="39"/>
  <c r="AC29" i="39" s="1"/>
  <c r="F29" i="39"/>
  <c r="AA29" i="39"/>
  <c r="F11" i="21"/>
  <c r="S11" i="21" s="1"/>
  <c r="C21" i="39"/>
  <c r="H11" i="39"/>
  <c r="AB11" i="39" s="1"/>
  <c r="H11" i="21"/>
  <c r="U11" i="21" s="1"/>
  <c r="J11" i="21"/>
  <c r="AC11" i="21" s="1"/>
  <c r="H36" i="40"/>
  <c r="U36" i="40" s="1"/>
  <c r="F35" i="40"/>
  <c r="S35" i="40"/>
  <c r="J30" i="40"/>
  <c r="W30" i="40" s="1"/>
  <c r="F30" i="40"/>
  <c r="AA30" i="40" s="1"/>
  <c r="F96" i="40"/>
  <c r="G96" i="40" s="1"/>
  <c r="H96" i="40" s="1"/>
  <c r="I96" i="40" s="1"/>
  <c r="J96" i="40" s="1"/>
  <c r="K96" i="40"/>
  <c r="L96" i="40" s="1"/>
  <c r="M96" i="40" s="1"/>
  <c r="H27" i="40"/>
  <c r="U27" i="40" s="1"/>
  <c r="H23" i="40"/>
  <c r="AB23" i="40" s="1"/>
  <c r="J11" i="40"/>
  <c r="AB12" i="33"/>
  <c r="S44" i="39"/>
  <c r="J34" i="36"/>
  <c r="AC34" i="36" s="1"/>
  <c r="U30" i="36"/>
  <c r="F22" i="35"/>
  <c r="AA22" i="35" s="1"/>
  <c r="H10" i="35"/>
  <c r="U10" i="35" s="1"/>
  <c r="AB29" i="36"/>
  <c r="F33" i="36"/>
  <c r="S33" i="36" s="1"/>
  <c r="F85" i="36"/>
  <c r="G85" i="36" s="1"/>
  <c r="H85" i="36" s="1"/>
  <c r="I85" i="36" s="1"/>
  <c r="J85" i="36" s="1"/>
  <c r="K85" i="36" s="1"/>
  <c r="L85" i="36" s="1"/>
  <c r="M85" i="36" s="1"/>
  <c r="J29" i="36"/>
  <c r="AC29" i="36" s="1"/>
  <c r="F12" i="36"/>
  <c r="AA12" i="36" s="1"/>
  <c r="F34" i="36"/>
  <c r="AA34" i="36"/>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H40" i="34"/>
  <c r="U40" i="34" s="1"/>
  <c r="F38" i="34"/>
  <c r="AA38" i="34" s="1"/>
  <c r="F28" i="34"/>
  <c r="AA28" i="34" s="1"/>
  <c r="J19" i="34"/>
  <c r="W19" i="34" s="1"/>
  <c r="J10" i="34"/>
  <c r="W10" i="34" s="1"/>
  <c r="H10" i="34"/>
  <c r="AB10" i="34" s="1"/>
  <c r="F41" i="33"/>
  <c r="S41" i="33"/>
  <c r="E113" i="33"/>
  <c r="J34" i="33"/>
  <c r="F25" i="33"/>
  <c r="AA25" i="33" s="1"/>
  <c r="J25" i="33"/>
  <c r="AC25" i="33" s="1"/>
  <c r="H25" i="33"/>
  <c r="AB25" i="33" s="1"/>
  <c r="J23" i="33"/>
  <c r="AC23" i="33" s="1"/>
  <c r="F19" i="33"/>
  <c r="S19" i="33" s="1"/>
  <c r="J19" i="33"/>
  <c r="W19" i="33" s="1"/>
  <c r="J17" i="33"/>
  <c r="AC17" i="33" s="1"/>
  <c r="H17" i="33"/>
  <c r="AB17" i="33" s="1"/>
  <c r="F11" i="33"/>
  <c r="AA11" i="33" s="1"/>
  <c r="W10" i="33"/>
  <c r="H10" i="33"/>
  <c r="U10" i="33" s="1"/>
  <c r="U40" i="33"/>
  <c r="U8" i="33"/>
  <c r="S8" i="33"/>
  <c r="F37" i="40"/>
  <c r="AA37" i="40"/>
  <c r="F36" i="40"/>
  <c r="AA36" i="40"/>
  <c r="J27" i="40"/>
  <c r="AC27" i="40" s="1"/>
  <c r="W27" i="40"/>
  <c r="F27" i="40"/>
  <c r="S27" i="40" s="1"/>
  <c r="F23" i="40"/>
  <c r="AA23" i="40" s="1"/>
  <c r="AB30" i="36"/>
  <c r="F29" i="35"/>
  <c r="S29" i="35" s="1"/>
  <c r="U34" i="37"/>
  <c r="AB42" i="34"/>
  <c r="H38" i="34"/>
  <c r="U38" i="34" s="1"/>
  <c r="F113" i="33"/>
  <c r="G113" i="33" s="1"/>
  <c r="H113" i="33" s="1"/>
  <c r="I113" i="33" s="1"/>
  <c r="J113" i="33" s="1"/>
  <c r="K113" i="33" s="1"/>
  <c r="L113" i="33" s="1"/>
  <c r="M113" i="33" s="1"/>
  <c r="H37" i="33"/>
  <c r="AB37" i="33" s="1"/>
  <c r="AA37" i="33"/>
  <c r="F17" i="33"/>
  <c r="AA17" i="33" s="1"/>
  <c r="AB11" i="33"/>
  <c r="AC42" i="34"/>
  <c r="W42" i="34"/>
  <c r="AA42" i="34"/>
  <c r="S42" i="34"/>
  <c r="J37" i="33"/>
  <c r="AC37" i="33" s="1"/>
  <c r="J11" i="33"/>
  <c r="AC11" i="33" s="1"/>
  <c r="J10" i="35"/>
  <c r="AC10" i="35" s="1"/>
  <c r="H28" i="21"/>
  <c r="AB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s="1"/>
  <c r="J13" i="33"/>
  <c r="AC13" i="33"/>
  <c r="H13" i="33"/>
  <c r="AB13" i="33" s="1"/>
  <c r="F13" i="33"/>
  <c r="J29" i="33"/>
  <c r="H29" i="33"/>
  <c r="U29" i="33" s="1"/>
  <c r="F29" i="33"/>
  <c r="S29" i="33" s="1"/>
  <c r="H31" i="33"/>
  <c r="F31" i="33"/>
  <c r="AA31" i="33" s="1"/>
  <c r="H45" i="33"/>
  <c r="W45" i="33"/>
  <c r="F45" i="33"/>
  <c r="S45" i="33" s="1"/>
  <c r="J14" i="34"/>
  <c r="AC14" i="34" s="1"/>
  <c r="W14" i="34"/>
  <c r="F14" i="34"/>
  <c r="H14" i="34"/>
  <c r="U14" i="34" s="1"/>
  <c r="H30" i="34"/>
  <c r="U30" i="34"/>
  <c r="F30" i="34"/>
  <c r="S30" i="34" s="1"/>
  <c r="J30" i="34"/>
  <c r="W30" i="34" s="1"/>
  <c r="H32" i="34"/>
  <c r="F32" i="34"/>
  <c r="S32" i="34" s="1"/>
  <c r="J32" i="34"/>
  <c r="W32" i="34" s="1"/>
  <c r="H46" i="34"/>
  <c r="U46" i="34" s="1"/>
  <c r="F46" i="34"/>
  <c r="S46" i="34" s="1"/>
  <c r="W46" i="34"/>
  <c r="J11" i="35"/>
  <c r="AC11" i="35" s="1"/>
  <c r="F11" i="35"/>
  <c r="S11" i="35" s="1"/>
  <c r="J26" i="36"/>
  <c r="W26" i="36" s="1"/>
  <c r="H28" i="36"/>
  <c r="U28" i="36" s="1"/>
  <c r="AB32" i="36"/>
  <c r="J32" i="36"/>
  <c r="W32" i="36" s="1"/>
  <c r="J11" i="36"/>
  <c r="AC11" i="36" s="1"/>
  <c r="H11" i="36"/>
  <c r="AB11" i="36" s="1"/>
  <c r="F11" i="36"/>
  <c r="AA11" i="36" s="1"/>
  <c r="H13" i="36"/>
  <c r="AB13" i="36" s="1"/>
  <c r="W13" i="36"/>
  <c r="F13" i="36"/>
  <c r="S13" i="36" s="1"/>
  <c r="H36" i="37"/>
  <c r="AB36" i="37"/>
  <c r="H37" i="37"/>
  <c r="U37" i="37" s="1"/>
  <c r="H14" i="33"/>
  <c r="U14" i="33" s="1"/>
  <c r="F14" i="33"/>
  <c r="AA14" i="33" s="1"/>
  <c r="J14" i="33"/>
  <c r="AC14" i="33" s="1"/>
  <c r="AB30" i="33"/>
  <c r="F30" i="33"/>
  <c r="S30" i="33" s="1"/>
  <c r="J30" i="33"/>
  <c r="AC30" i="33"/>
  <c r="H44" i="33"/>
  <c r="AB44" i="33"/>
  <c r="J44" i="33"/>
  <c r="AC44" i="33"/>
  <c r="F44" i="33"/>
  <c r="AA44" i="33" s="1"/>
  <c r="S44" i="33"/>
  <c r="J46" i="33"/>
  <c r="W46" i="33"/>
  <c r="F46" i="33"/>
  <c r="H46" i="33"/>
  <c r="AB46" i="33" s="1"/>
  <c r="H13" i="34"/>
  <c r="U13" i="34" s="1"/>
  <c r="J13" i="34"/>
  <c r="W13" i="34" s="1"/>
  <c r="F13" i="34"/>
  <c r="AA13" i="34" s="1"/>
  <c r="J29" i="34"/>
  <c r="AC29" i="34"/>
  <c r="F29" i="34"/>
  <c r="S29" i="34" s="1"/>
  <c r="H29" i="34"/>
  <c r="U29" i="34" s="1"/>
  <c r="J31" i="34"/>
  <c r="AC31" i="34" s="1"/>
  <c r="H31" i="34"/>
  <c r="AB31" i="34" s="1"/>
  <c r="F31" i="34"/>
  <c r="S31" i="34" s="1"/>
  <c r="U45" i="34"/>
  <c r="J45" i="34"/>
  <c r="W45" i="34" s="1"/>
  <c r="F45" i="34"/>
  <c r="S45" i="34"/>
  <c r="H47" i="34"/>
  <c r="U47" i="34"/>
  <c r="F47" i="34"/>
  <c r="AA47" i="34"/>
  <c r="J47" i="34"/>
  <c r="AC47" i="34" s="1"/>
  <c r="F13" i="35"/>
  <c r="S13" i="35" s="1"/>
  <c r="J13" i="35"/>
  <c r="AC13" i="35" s="1"/>
  <c r="H13" i="35"/>
  <c r="U13" i="35"/>
  <c r="J25" i="35"/>
  <c r="W25" i="35"/>
  <c r="F25" i="35"/>
  <c r="S25" i="35"/>
  <c r="H25" i="35"/>
  <c r="U25" i="35" s="1"/>
  <c r="AB25" i="35"/>
  <c r="J35" i="35"/>
  <c r="AC35" i="35"/>
  <c r="F35" i="35"/>
  <c r="AA35" i="35" s="1"/>
  <c r="H35" i="35"/>
  <c r="AB35" i="35" s="1"/>
  <c r="J25" i="36"/>
  <c r="AC25" i="36" s="1"/>
  <c r="F25" i="36"/>
  <c r="S25" i="36" s="1"/>
  <c r="H25" i="36"/>
  <c r="AB25" i="36" s="1"/>
  <c r="F13" i="37"/>
  <c r="S13" i="37" s="1"/>
  <c r="F28" i="37"/>
  <c r="AA28" i="37" s="1"/>
  <c r="J28" i="37"/>
  <c r="AC28" i="37" s="1"/>
  <c r="H28" i="37"/>
  <c r="U28" i="37" s="1"/>
  <c r="H38" i="37"/>
  <c r="AB38" i="37"/>
  <c r="J38" i="37"/>
  <c r="AC38" i="37" s="1"/>
  <c r="F38" i="37"/>
  <c r="S38" i="37" s="1"/>
  <c r="F43" i="39"/>
  <c r="AA43" i="39" s="1"/>
  <c r="H43" i="39"/>
  <c r="U43" i="39" s="1"/>
  <c r="J14" i="39"/>
  <c r="W14" i="39" s="1"/>
  <c r="F12" i="40"/>
  <c r="AA12" i="40" s="1"/>
  <c r="H30" i="40"/>
  <c r="AB30" i="40"/>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c r="F14" i="40"/>
  <c r="AA14" i="40" s="1"/>
  <c r="J14" i="37"/>
  <c r="AC14" i="37" s="1"/>
  <c r="AB14" i="33"/>
  <c r="AB37" i="37"/>
  <c r="W28" i="37"/>
  <c r="S47" i="34"/>
  <c r="W30" i="33"/>
  <c r="AC32" i="34"/>
  <c r="J10" i="36"/>
  <c r="AC10" i="36"/>
  <c r="AC13" i="36"/>
  <c r="U32" i="36"/>
  <c r="J41" i="39"/>
  <c r="W41" i="39" s="1"/>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c r="F23" i="37"/>
  <c r="AA23" i="37" s="1"/>
  <c r="S23" i="37"/>
  <c r="F32" i="37"/>
  <c r="S32" i="37" s="1"/>
  <c r="AA36" i="39"/>
  <c r="F39" i="33"/>
  <c r="AA39" i="33" s="1"/>
  <c r="F42" i="33"/>
  <c r="AA42" i="33" s="1"/>
  <c r="F14" i="36"/>
  <c r="AA14" i="36"/>
  <c r="F22" i="36"/>
  <c r="F26" i="36"/>
  <c r="AA26" i="36" s="1"/>
  <c r="H27" i="34"/>
  <c r="U27" i="34" s="1"/>
  <c r="H35" i="34"/>
  <c r="U35" i="34"/>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c r="H42" i="33"/>
  <c r="U42" i="33" s="1"/>
  <c r="J23" i="37"/>
  <c r="W23" i="37" s="1"/>
  <c r="S30" i="31"/>
  <c r="U11" i="40"/>
  <c r="AC33" i="36"/>
  <c r="AB20" i="35"/>
  <c r="AC12" i="35"/>
  <c r="S25" i="37"/>
  <c r="W47" i="34"/>
  <c r="AC31" i="33"/>
  <c r="S11" i="33"/>
  <c r="AC33" i="21"/>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7" i="39"/>
  <c r="AC43" i="39"/>
  <c r="W43" i="39"/>
  <c r="U45" i="39"/>
  <c r="AB45" i="39"/>
  <c r="AC13" i="39"/>
  <c r="H37" i="39"/>
  <c r="U37" i="39" s="1"/>
  <c r="H25" i="39"/>
  <c r="U25" i="39" s="1"/>
  <c r="J25" i="39"/>
  <c r="W25" i="39"/>
  <c r="F25" i="39"/>
  <c r="S25" i="39" s="1"/>
  <c r="F15" i="39"/>
  <c r="S15" i="39" s="1"/>
  <c r="H15" i="39"/>
  <c r="U15" i="39" s="1"/>
  <c r="J15" i="39"/>
  <c r="W15" i="39" s="1"/>
  <c r="H41" i="39"/>
  <c r="AB41" i="39" s="1"/>
  <c r="F11" i="39"/>
  <c r="AA11" i="39"/>
  <c r="H21" i="39"/>
  <c r="U21" i="39" s="1"/>
  <c r="F32" i="39"/>
  <c r="S32" i="39" s="1"/>
  <c r="W29" i="39"/>
  <c r="W19" i="39"/>
  <c r="U34" i="39"/>
  <c r="S42" i="39"/>
  <c r="S41" i="39"/>
  <c r="W39" i="39"/>
  <c r="W8"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c r="F107" i="34"/>
  <c r="G107" i="34"/>
  <c r="H107" i="34" s="1"/>
  <c r="I107" i="34" s="1"/>
  <c r="J107" i="34" s="1"/>
  <c r="K107" i="34" s="1"/>
  <c r="L107" i="34" s="1"/>
  <c r="M107" i="34" s="1"/>
  <c r="J35" i="34"/>
  <c r="AC35" i="34" s="1"/>
  <c r="F27" i="34"/>
  <c r="S27" i="34" s="1"/>
  <c r="W34" i="34"/>
  <c r="J33" i="34"/>
  <c r="W33" i="34" s="1"/>
  <c r="J37" i="34"/>
  <c r="W37" i="34" s="1"/>
  <c r="AB33"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H17" i="21"/>
  <c r="AB17" i="21" s="1"/>
  <c r="U35" i="21"/>
  <c r="AC35" i="21"/>
  <c r="H103" i="57"/>
  <c r="A131" i="9"/>
  <c r="A135" i="57"/>
  <c r="B103" i="57"/>
  <c r="B107" i="57" s="1"/>
  <c r="C112" i="57"/>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J37" i="37"/>
  <c r="W37" i="37" s="1"/>
  <c r="U40" i="37"/>
  <c r="AA16" i="35"/>
  <c r="U29" i="35"/>
  <c r="AA35" i="39"/>
  <c r="W44" i="33"/>
  <c r="U36" i="37"/>
  <c r="AB46" i="34"/>
  <c r="S14" i="34"/>
  <c r="AA14" i="34"/>
  <c r="F40" i="34"/>
  <c r="AA40" i="34" s="1"/>
  <c r="U20" i="36"/>
  <c r="AB20" i="36"/>
  <c r="AA16" i="36"/>
  <c r="AC44" i="39"/>
  <c r="W44" i="39"/>
  <c r="H13" i="21"/>
  <c r="U13" i="21"/>
  <c r="J13" i="21"/>
  <c r="F13" i="21"/>
  <c r="AA13" i="21" s="1"/>
  <c r="J45" i="21"/>
  <c r="AC45" i="21" s="1"/>
  <c r="F45" i="21"/>
  <c r="AA45" i="21" s="1"/>
  <c r="B41" i="47"/>
  <c r="C23" i="40"/>
  <c r="AC8" i="34"/>
  <c r="J9" i="34"/>
  <c r="AC9" i="34" s="1"/>
  <c r="F9" i="34"/>
  <c r="S9" i="34" s="1"/>
  <c r="S19" i="34"/>
  <c r="AA9" i="36"/>
  <c r="S9" i="36"/>
  <c r="J12" i="36"/>
  <c r="W12" i="36" s="1"/>
  <c r="H12" i="36"/>
  <c r="AB12" i="36"/>
  <c r="AA9" i="39"/>
  <c r="S9" i="39"/>
  <c r="AB12" i="39"/>
  <c r="U12" i="39"/>
  <c r="J12" i="39"/>
  <c r="W12" i="39" s="1"/>
  <c r="F12" i="39"/>
  <c r="S12" i="39" s="1"/>
  <c r="R29" i="31"/>
  <c r="T29" i="31" s="1"/>
  <c r="J36" i="34"/>
  <c r="W36" i="34" s="1"/>
  <c r="S8" i="34"/>
  <c r="J19" i="40"/>
  <c r="AC19" i="40" s="1"/>
  <c r="W9" i="39"/>
  <c r="H32" i="39"/>
  <c r="U32" i="39" s="1"/>
  <c r="F21" i="39"/>
  <c r="S21" i="39" s="1"/>
  <c r="AA21" i="39"/>
  <c r="F37" i="47"/>
  <c r="B35" i="47" s="1"/>
  <c r="F31" i="37"/>
  <c r="AA31" i="37" s="1"/>
  <c r="U25" i="36"/>
  <c r="AC36" i="40"/>
  <c r="F17" i="37"/>
  <c r="AA17" i="37" s="1"/>
  <c r="AB28" i="36"/>
  <c r="AB13" i="40"/>
  <c r="S12" i="40"/>
  <c r="U44" i="33"/>
  <c r="U11" i="36"/>
  <c r="U32" i="34"/>
  <c r="AB32" i="34"/>
  <c r="AA30" i="34"/>
  <c r="H45" i="21"/>
  <c r="AB45" i="21" s="1"/>
  <c r="J14" i="36"/>
  <c r="AC14" i="36" s="1"/>
  <c r="AC30" i="21"/>
  <c r="J40" i="34"/>
  <c r="AC40" i="34" s="1"/>
  <c r="S37" i="40"/>
  <c r="H19" i="33"/>
  <c r="AB19" i="33" s="1"/>
  <c r="AA41" i="33"/>
  <c r="J23" i="34"/>
  <c r="W23" i="34" s="1"/>
  <c r="AC30" i="40"/>
  <c r="AB17" i="39"/>
  <c r="W22" i="35"/>
  <c r="S30" i="36"/>
  <c r="H34" i="21"/>
  <c r="U34" i="21" s="1"/>
  <c r="AC36" i="21"/>
  <c r="W36" i="21"/>
  <c r="E101" i="33"/>
  <c r="F32" i="33"/>
  <c r="AA32" i="33" s="1"/>
  <c r="H9" i="34"/>
  <c r="AB9" i="34" s="1"/>
  <c r="H28" i="34"/>
  <c r="U28" i="34"/>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AA14" i="35"/>
  <c r="S14" i="35"/>
  <c r="W11" i="21"/>
  <c r="H27" i="21"/>
  <c r="AB27" i="21" s="1"/>
  <c r="J27" i="21"/>
  <c r="W27" i="21" s="1"/>
  <c r="F27" i="21"/>
  <c r="AA27" i="21" s="1"/>
  <c r="J29" i="21"/>
  <c r="W29" i="21" s="1"/>
  <c r="AC29" i="21"/>
  <c r="H29" i="21"/>
  <c r="U29" i="21" s="1"/>
  <c r="F29" i="21"/>
  <c r="S29" i="21" s="1"/>
  <c r="J31" i="21"/>
  <c r="W31" i="21" s="1"/>
  <c r="H31" i="21"/>
  <c r="AB31" i="21" s="1"/>
  <c r="F31" i="21"/>
  <c r="AA31" i="21" s="1"/>
  <c r="S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c r="S12" i="34"/>
  <c r="AA12" i="34"/>
  <c r="S11" i="34"/>
  <c r="H17" i="34"/>
  <c r="U17" i="34" s="1"/>
  <c r="H16" i="35"/>
  <c r="AB16" i="35" s="1"/>
  <c r="J24" i="35"/>
  <c r="AC24" i="35" s="1"/>
  <c r="F24" i="35"/>
  <c r="AA24" i="35" s="1"/>
  <c r="H24" i="35"/>
  <c r="U24" i="35" s="1"/>
  <c r="H34" i="35"/>
  <c r="U34" i="35" s="1"/>
  <c r="F34" i="35"/>
  <c r="AA34" i="35" s="1"/>
  <c r="G60" i="37"/>
  <c r="F10" i="37"/>
  <c r="AA10" i="37" s="1"/>
  <c r="J12" i="37"/>
  <c r="W12" i="37" s="1"/>
  <c r="F12" i="37"/>
  <c r="S12" i="37" s="1"/>
  <c r="H27" i="37"/>
  <c r="U27" i="37" s="1"/>
  <c r="F27" i="37"/>
  <c r="S27" i="37" s="1"/>
  <c r="J27" i="37"/>
  <c r="W27" i="37" s="1"/>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AC26" i="37" s="1"/>
  <c r="H26" i="37"/>
  <c r="AB26" i="37" s="1"/>
  <c r="F26" i="37"/>
  <c r="AA26" i="37" s="1"/>
  <c r="J23" i="39"/>
  <c r="W23" i="39" s="1"/>
  <c r="E97" i="39"/>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A12" i="37"/>
  <c r="S34" i="35"/>
  <c r="J17" i="34"/>
  <c r="AC17" i="34" s="1"/>
  <c r="F17" i="34"/>
  <c r="AA17" i="34" s="1"/>
  <c r="H27" i="33"/>
  <c r="AB27" i="33" s="1"/>
  <c r="F43" i="33"/>
  <c r="S43" i="33" s="1"/>
  <c r="F125" i="33"/>
  <c r="G125" i="33" s="1"/>
  <c r="J43" i="33"/>
  <c r="AC43" i="33"/>
  <c r="AA29" i="21"/>
  <c r="H27" i="36"/>
  <c r="AB27" i="36" s="1"/>
  <c r="F27" i="36"/>
  <c r="AA27" i="36" s="1"/>
  <c r="J28" i="34"/>
  <c r="W28" i="34" s="1"/>
  <c r="H11" i="34"/>
  <c r="U11" i="34" s="1"/>
  <c r="S17" i="37"/>
  <c r="J11" i="37"/>
  <c r="W11" i="37" s="1"/>
  <c r="AC12" i="39"/>
  <c r="AB13" i="21"/>
  <c r="F23" i="39"/>
  <c r="AA23" i="39" s="1"/>
  <c r="F97" i="39"/>
  <c r="G97" i="39" s="1"/>
  <c r="F44" i="34"/>
  <c r="AA44" i="34" s="1"/>
  <c r="J44" i="34"/>
  <c r="AC44" i="34" s="1"/>
  <c r="H60" i="37"/>
  <c r="I60" i="37" s="1"/>
  <c r="H10" i="37"/>
  <c r="AB10" i="37" s="1"/>
  <c r="U10" i="37"/>
  <c r="S24" i="35"/>
  <c r="AB43" i="33"/>
  <c r="S31" i="21"/>
  <c r="AB29" i="21"/>
  <c r="W27" i="36"/>
  <c r="F101" i="33"/>
  <c r="G101" i="33" s="1"/>
  <c r="H101" i="33" s="1"/>
  <c r="I101" i="33" s="1"/>
  <c r="J101" i="33" s="1"/>
  <c r="K101" i="33" s="1"/>
  <c r="L101" i="33" s="1"/>
  <c r="M101" i="33" s="1"/>
  <c r="J32" i="33"/>
  <c r="W32" i="33" s="1"/>
  <c r="H32" i="33"/>
  <c r="AB32" i="33" s="1"/>
  <c r="U12" i="36"/>
  <c r="W13" i="21"/>
  <c r="AC13" i="21"/>
  <c r="S44" i="34"/>
  <c r="S27" i="36"/>
  <c r="J10" i="37"/>
  <c r="AC10" i="37" s="1"/>
  <c r="H23" i="39"/>
  <c r="AB23" i="39" s="1"/>
  <c r="J11" i="34"/>
  <c r="W11" i="34" s="1"/>
  <c r="J27" i="33"/>
  <c r="W27" i="33"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W19" i="40"/>
  <c r="F86" i="40"/>
  <c r="G86" i="40"/>
  <c r="H17" i="40"/>
  <c r="U17" i="40" s="1"/>
  <c r="J17" i="40"/>
  <c r="F17" i="40"/>
  <c r="S17" i="40"/>
  <c r="F84" i="40"/>
  <c r="G84" i="40"/>
  <c r="F15" i="40"/>
  <c r="J15" i="40"/>
  <c r="AC15" i="40" s="1"/>
  <c r="H15" i="40"/>
  <c r="AB15" i="40"/>
  <c r="AC25" i="40"/>
  <c r="W25" i="40"/>
  <c r="U14" i="40"/>
  <c r="U8" i="40"/>
  <c r="AA19" i="40"/>
  <c r="S36" i="40"/>
  <c r="AA35" i="40"/>
  <c r="AC38" i="39"/>
  <c r="AC17" i="39"/>
  <c r="AA37" i="39"/>
  <c r="AB29" i="39"/>
  <c r="AC25" i="39"/>
  <c r="W27" i="39"/>
  <c r="AC27" i="39"/>
  <c r="W35" i="39"/>
  <c r="AC15" i="39"/>
  <c r="U41" i="39"/>
  <c r="AB15" i="39"/>
  <c r="U42" i="39"/>
  <c r="AB13" i="39"/>
  <c r="U19" i="39"/>
  <c r="AB27" i="39"/>
  <c r="U27" i="39"/>
  <c r="AA27" i="39"/>
  <c r="S27" i="39"/>
  <c r="S40" i="39"/>
  <c r="S31" i="39"/>
  <c r="AC11" i="39"/>
  <c r="AA12" i="39"/>
  <c r="S13" i="39"/>
  <c r="S34" i="36"/>
  <c r="S11" i="36"/>
  <c r="S12" i="36"/>
  <c r="AC16" i="36"/>
  <c r="W14" i="36"/>
  <c r="S26" i="36"/>
  <c r="U27" i="36"/>
  <c r="AC26" i="36"/>
  <c r="AA25" i="36"/>
  <c r="S14" i="36"/>
  <c r="U14" i="36"/>
  <c r="S10" i="36"/>
  <c r="W18" i="36"/>
  <c r="AC18" i="36"/>
  <c r="AC12" i="36"/>
  <c r="W25" i="36"/>
  <c r="AC32" i="36"/>
  <c r="AC20" i="36"/>
  <c r="W29" i="36"/>
  <c r="W28" i="36"/>
  <c r="W8" i="36"/>
  <c r="U13" i="36"/>
  <c r="AB18" i="36"/>
  <c r="U18" i="36"/>
  <c r="S28" i="36"/>
  <c r="W35" i="35"/>
  <c r="W24" i="35"/>
  <c r="AC25" i="35"/>
  <c r="W23" i="35"/>
  <c r="S23" i="35"/>
  <c r="AB23" i="35"/>
  <c r="W11" i="35"/>
  <c r="AA12" i="35"/>
  <c r="W10" i="35"/>
  <c r="W14" i="35"/>
  <c r="W34" i="35"/>
  <c r="AC26" i="35"/>
  <c r="W28" i="35"/>
  <c r="AC27" i="35"/>
  <c r="U14" i="35"/>
  <c r="U35" i="35"/>
  <c r="AB10" i="35"/>
  <c r="U8" i="35"/>
  <c r="AA13" i="35"/>
  <c r="S20" i="35"/>
  <c r="AB13" i="35"/>
  <c r="S34" i="37"/>
  <c r="W32" i="37"/>
  <c r="W26" i="37"/>
  <c r="AB28" i="37"/>
  <c r="AC12" i="37"/>
  <c r="J33" i="37"/>
  <c r="AC33" i="37" s="1"/>
  <c r="F33" i="37"/>
  <c r="AA33" i="37" s="1"/>
  <c r="H99" i="37"/>
  <c r="I99" i="37" s="1"/>
  <c r="J99" i="37" s="1"/>
  <c r="K99" i="37" s="1"/>
  <c r="L99" i="37" s="1"/>
  <c r="M99" i="37" s="1"/>
  <c r="H33" i="37"/>
  <c r="AB33" i="37" s="1"/>
  <c r="AC35" i="37"/>
  <c r="W35" i="37"/>
  <c r="S31" i="37"/>
  <c r="H35" i="37"/>
  <c r="U35" i="37" s="1"/>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AA38" i="37"/>
  <c r="W35" i="34"/>
  <c r="AC28" i="34"/>
  <c r="S36" i="34"/>
  <c r="S43" i="34"/>
  <c r="AB19" i="34"/>
  <c r="W31" i="34"/>
  <c r="U36" i="34"/>
  <c r="U21" i="34"/>
  <c r="AB21" i="34"/>
  <c r="AA41" i="34"/>
  <c r="AA46" i="34"/>
  <c r="W42" i="33"/>
  <c r="U25" i="33"/>
  <c r="W11" i="33"/>
  <c r="U34" i="33"/>
  <c r="U38" i="33"/>
  <c r="W43" i="33"/>
  <c r="AC41" i="33"/>
  <c r="AA45" i="33"/>
  <c r="U46" i="33"/>
  <c r="U9" i="33"/>
  <c r="AC12" i="33"/>
  <c r="W13" i="33"/>
  <c r="AC46" i="33"/>
  <c r="W21" i="33"/>
  <c r="AC21" i="33"/>
  <c r="AB41" i="33"/>
  <c r="AB42" i="33"/>
  <c r="U13" i="33"/>
  <c r="S42" i="33"/>
  <c r="AC26" i="21"/>
  <c r="AC28" i="21"/>
  <c r="U27" i="21"/>
  <c r="U30" i="21"/>
  <c r="AA36" i="21"/>
  <c r="S28"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c r="E70" i="43"/>
  <c r="B68" i="43"/>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H82" i="43"/>
  <c r="K82" i="43"/>
  <c r="J82" i="43"/>
  <c r="D82" i="43"/>
  <c r="H83"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c r="K83" i="43"/>
  <c r="J83" i="43"/>
  <c r="D83" i="43"/>
  <c r="H88" i="43"/>
  <c r="H81" i="43"/>
  <c r="H62" i="43"/>
  <c r="J107" i="43"/>
  <c r="J104"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40" i="33"/>
  <c r="W26" i="33"/>
  <c r="S33" i="33"/>
  <c r="U35" i="33"/>
  <c r="AC45" i="33"/>
  <c r="AA19" i="33"/>
  <c r="W8" i="33"/>
  <c r="G83" i="21"/>
  <c r="J21" i="21"/>
  <c r="AC21" i="21" s="1"/>
  <c r="AC31" i="21"/>
  <c r="AA25" i="21"/>
  <c r="AA26" i="21"/>
  <c r="S35" i="21"/>
  <c r="C15" i="39"/>
  <c r="C17" i="39"/>
  <c r="C19" i="39"/>
  <c r="C15" i="40"/>
  <c r="C17" i="40"/>
  <c r="B54" i="43"/>
  <c r="B65" i="43"/>
  <c r="U30" i="40"/>
  <c r="B52" i="43"/>
  <c r="B56" i="43"/>
  <c r="B60" i="43"/>
  <c r="B63" i="43"/>
  <c r="B67" i="43"/>
  <c r="B23" i="60"/>
  <c r="AB35" i="40"/>
  <c r="U37" i="40"/>
  <c r="AB37" i="40"/>
  <c r="W37" i="40"/>
  <c r="AC37" i="40"/>
  <c r="AA28" i="40"/>
  <c r="S28" i="40"/>
  <c r="W28" i="40"/>
  <c r="AB28" i="40"/>
  <c r="AB21" i="40"/>
  <c r="U21" i="40"/>
  <c r="AA17" i="40"/>
  <c r="W17" i="40"/>
  <c r="AC17" i="40"/>
  <c r="AA15" i="40"/>
  <c r="S15" i="40"/>
  <c r="U33" i="37"/>
  <c r="S33" i="37"/>
  <c r="AA35" i="37"/>
  <c r="S35" i="37"/>
  <c r="W33" i="37"/>
  <c r="AA19"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c r="K84" i="43"/>
  <c r="J84" i="43"/>
  <c r="D84" i="43"/>
  <c r="M81" i="43"/>
  <c r="N81" i="43" s="1"/>
  <c r="K81" i="43"/>
  <c r="J81" i="43"/>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4" i="59"/>
  <c r="D14" i="59" s="1"/>
  <c r="D15" i="59"/>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U12" i="59"/>
  <c r="J30" i="35"/>
  <c r="AC30" i="35" s="1"/>
  <c r="W30" i="35"/>
  <c r="H30" i="35"/>
  <c r="AB30" i="35" s="1"/>
  <c r="AA30" i="35"/>
  <c r="N56" i="9"/>
  <c r="O56" i="9"/>
  <c r="O58" i="57"/>
  <c r="K58" i="57"/>
  <c r="K59" i="57" s="1"/>
  <c r="K61" i="57" s="1"/>
  <c r="K63" i="57" s="1"/>
  <c r="N58" i="57"/>
  <c r="K56" i="9"/>
  <c r="K57" i="9" s="1"/>
  <c r="K59" i="9" s="1"/>
  <c r="K61" i="9" s="1"/>
  <c r="L58" i="57"/>
  <c r="C13" i="59"/>
  <c r="D13" i="59" s="1"/>
  <c r="X3" i="59"/>
  <c r="Y3" i="59"/>
  <c r="Z3" i="59" s="1"/>
  <c r="H76" i="43"/>
  <c r="H75" i="43"/>
  <c r="H78"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F3" i="61"/>
  <c r="D5" i="61"/>
  <c r="D6" i="61"/>
  <c r="D20" i="57"/>
  <c r="F4" i="61"/>
  <c r="E2" i="35"/>
  <c r="H23" i="31"/>
  <c r="E2" i="34"/>
  <c r="D4" i="61"/>
  <c r="F5" i="61"/>
  <c r="C20" i="57"/>
  <c r="E2" i="21"/>
  <c r="F6" i="61"/>
  <c r="D19" i="57"/>
  <c r="E2" i="33"/>
  <c r="D7" i="61"/>
  <c r="E2" i="36"/>
  <c r="E2" i="37"/>
  <c r="E2" i="11"/>
  <c r="C19" i="57"/>
  <c r="F7" i="61"/>
  <c r="C58" i="21" l="1"/>
  <c r="D58" i="21" s="1"/>
  <c r="E7" i="21"/>
  <c r="E106" i="21"/>
  <c r="F106" i="21" s="1"/>
  <c r="G106" i="21" s="1"/>
  <c r="H106" i="21" s="1"/>
  <c r="I106" i="21" s="1"/>
  <c r="J106" i="21" s="1"/>
  <c r="K106" i="21" s="1"/>
  <c r="L106" i="21" s="1"/>
  <c r="M106" i="21" s="1"/>
  <c r="J42" i="21"/>
  <c r="AC42" i="21" s="1"/>
  <c r="H42" i="21"/>
  <c r="AB42" i="21" s="1"/>
  <c r="F42" i="21"/>
  <c r="H39" i="21"/>
  <c r="U39" i="21" s="1"/>
  <c r="F39" i="21"/>
  <c r="S39" i="21" s="1"/>
  <c r="W23" i="21"/>
  <c r="AA39" i="21"/>
  <c r="B49" i="43"/>
  <c r="W23" i="36"/>
  <c r="AC23" i="36"/>
  <c r="AB33" i="36"/>
  <c r="U33" i="36"/>
  <c r="AB14" i="37"/>
  <c r="U14" i="37"/>
  <c r="E81" i="43"/>
  <c r="B79" i="43" s="1"/>
  <c r="C7" i="43"/>
  <c r="AB35" i="37"/>
  <c r="S23" i="39"/>
  <c r="AC11" i="34"/>
  <c r="S26" i="37"/>
  <c r="AC36" i="34"/>
  <c r="U31" i="21"/>
  <c r="AB24" i="35"/>
  <c r="AC40" i="37"/>
  <c r="AB38" i="40"/>
  <c r="W24" i="36"/>
  <c r="AA27" i="37"/>
  <c r="C106" i="9"/>
  <c r="H102" i="9" s="1"/>
  <c r="H17" i="43"/>
  <c r="G17" i="43" s="1"/>
  <c r="C16" i="43" s="1"/>
  <c r="C5" i="43" s="1"/>
  <c r="D4" i="47"/>
  <c r="F4" i="47" s="1"/>
  <c r="B2" i="47" s="1"/>
  <c r="X27" i="31"/>
  <c r="I108" i="43"/>
  <c r="I100" i="43"/>
  <c r="C51" i="59"/>
  <c r="D50" i="59"/>
  <c r="S13" i="40"/>
  <c r="AA30" i="33"/>
  <c r="S28" i="37"/>
  <c r="AA11" i="35"/>
  <c r="AB32" i="40"/>
  <c r="S32" i="40"/>
  <c r="S14" i="33"/>
  <c r="W13" i="35"/>
  <c r="W34" i="36"/>
  <c r="W8" i="21"/>
  <c r="S12" i="33"/>
  <c r="H12" i="34"/>
  <c r="H23" i="36"/>
  <c r="AB31" i="35"/>
  <c r="D108" i="43"/>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H38" i="21"/>
  <c r="U38" i="21" s="1"/>
  <c r="AB12" i="37"/>
  <c r="U12" i="37"/>
  <c r="C12" i="59"/>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C52" i="59"/>
  <c r="D51" i="59"/>
  <c r="D27" i="59"/>
  <c r="C28" i="59"/>
  <c r="C47" i="59"/>
  <c r="D46" i="59"/>
  <c r="N59" i="59"/>
  <c r="B58" i="59"/>
  <c r="C35" i="59"/>
  <c r="D34" i="59"/>
  <c r="C43" i="59"/>
  <c r="D42" i="59"/>
  <c r="E7" i="59"/>
  <c r="E6" i="59" s="1"/>
  <c r="E5" i="59" s="1"/>
  <c r="U8"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F37" i="21"/>
  <c r="J37" i="21"/>
  <c r="H113" i="21"/>
  <c r="H37" i="21"/>
  <c r="U37" i="21" s="1"/>
  <c r="S21" i="21"/>
  <c r="S19" i="21"/>
  <c r="F79" i="21"/>
  <c r="G79" i="21" s="1"/>
  <c r="J17" i="21"/>
  <c r="AC17" i="21" s="1"/>
  <c r="AC15" i="21"/>
  <c r="AB23" i="21"/>
  <c r="S23" i="21"/>
  <c r="W21" i="21"/>
  <c r="AC19" i="21"/>
  <c r="U17" i="21"/>
  <c r="S17" i="21"/>
  <c r="B66" i="43"/>
  <c r="C29" i="39"/>
  <c r="B55" i="43"/>
  <c r="C27" i="39"/>
  <c r="AC46" i="21"/>
  <c r="AA43" i="21"/>
  <c r="W45" i="21"/>
  <c r="W39" i="21"/>
  <c r="S40" i="21"/>
  <c r="U43" i="21"/>
  <c r="S46" i="21"/>
  <c r="AB44" i="21"/>
  <c r="U45" i="21"/>
  <c r="S44" i="21"/>
  <c r="W44" i="21"/>
  <c r="AB46" i="21"/>
  <c r="S33" i="21"/>
  <c r="U33" i="21"/>
  <c r="S27" i="21"/>
  <c r="AB32" i="21"/>
  <c r="AA32" i="21"/>
  <c r="AB36" i="21"/>
  <c r="AA34" i="21"/>
  <c r="AB34" i="21"/>
  <c r="U40" i="21"/>
  <c r="W40" i="21"/>
  <c r="AB25" i="21"/>
  <c r="U26" i="21"/>
  <c r="W25" i="21"/>
  <c r="S13" i="21"/>
  <c r="AC14" i="21"/>
  <c r="S10" i="21"/>
  <c r="W10" i="21"/>
  <c r="S8" i="21"/>
  <c r="U9" i="21"/>
  <c r="C59" i="34"/>
  <c r="D59" i="34" s="1"/>
  <c r="I7" i="34"/>
  <c r="G7" i="34"/>
  <c r="E7" i="34"/>
  <c r="C58" i="33"/>
  <c r="D58" i="33" s="1"/>
  <c r="E58" i="33" s="1"/>
  <c r="F58" i="33" s="1"/>
  <c r="G58" i="33" s="1"/>
  <c r="H58" i="33" s="1"/>
  <c r="I58" i="33" s="1"/>
  <c r="J58" i="33" s="1"/>
  <c r="K58" i="33" s="1"/>
  <c r="L58" i="33" s="1"/>
  <c r="M58" i="33" s="1"/>
  <c r="N58" i="33" s="1"/>
  <c r="O58" i="33" s="1"/>
  <c r="I7" i="33"/>
  <c r="J7" i="33" s="1"/>
  <c r="W7" i="33" s="1"/>
  <c r="G7" i="33"/>
  <c r="H7" i="33" s="1"/>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8" i="33"/>
  <c r="U27" i="33"/>
  <c r="W25" i="33"/>
  <c r="S25" i="33"/>
  <c r="U23" i="33"/>
  <c r="S23"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48" i="11"/>
  <c r="C24" i="12"/>
  <c r="C29" i="12" s="1"/>
  <c r="D28" i="12" s="1"/>
  <c r="C77" i="9"/>
  <c r="C74" i="9" s="1"/>
  <c r="C30" i="11"/>
  <c r="G52" i="37"/>
  <c r="H52" i="37" s="1"/>
  <c r="I52" i="37" s="1"/>
  <c r="J52" i="37" s="1"/>
  <c r="K52" i="37" s="1"/>
  <c r="L52" i="37" s="1"/>
  <c r="M52" i="37" s="1"/>
  <c r="N52" i="37" s="1"/>
  <c r="O52" i="37" s="1"/>
  <c r="C32" i="15"/>
  <c r="J18" i="15"/>
  <c r="F31" i="15"/>
  <c r="H48" i="43"/>
  <c r="H49" i="43"/>
  <c r="H55" i="43"/>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F7" i="33"/>
  <c r="C33" i="11"/>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E20" i="43"/>
  <c r="G20" i="57"/>
  <c r="C105" i="57" s="1"/>
  <c r="C104" i="57"/>
  <c r="D104" i="57"/>
  <c r="D3" i="61"/>
  <c r="I7" i="21" l="1"/>
  <c r="G7" i="21"/>
  <c r="U42" i="21"/>
  <c r="W42" i="21"/>
  <c r="AA42" i="21"/>
  <c r="S42" i="21"/>
  <c r="AB39" i="21"/>
  <c r="H7" i="35"/>
  <c r="U7" i="35" s="1"/>
  <c r="F38" i="21"/>
  <c r="S38" i="21" s="1"/>
  <c r="J38" i="21"/>
  <c r="H7" i="37"/>
  <c r="AB7" i="37" s="1"/>
  <c r="T42" i="37" s="1"/>
  <c r="G42" i="37" s="1"/>
  <c r="G46" i="37" s="1"/>
  <c r="H46" i="37" s="1"/>
  <c r="K1" i="61"/>
  <c r="J7" i="35"/>
  <c r="Q58" i="59"/>
  <c r="Q57" i="59"/>
  <c r="U12" i="34"/>
  <c r="AB12" i="34"/>
  <c r="H14" i="62"/>
  <c r="B7" i="62" s="1"/>
  <c r="E26" i="58"/>
  <c r="O59" i="59"/>
  <c r="C58" i="59"/>
  <c r="U23" i="36"/>
  <c r="AB23" i="36"/>
  <c r="D8" i="62"/>
  <c r="G68" i="39"/>
  <c r="F70" i="39"/>
  <c r="D70" i="39"/>
  <c r="U12" i="40"/>
  <c r="AB12" i="40"/>
  <c r="AB38" i="21"/>
  <c r="U19" i="21"/>
  <c r="C44" i="59"/>
  <c r="D43" i="59"/>
  <c r="U44" i="39"/>
  <c r="AB44" i="39"/>
  <c r="W12" i="40"/>
  <c r="AC12" i="40"/>
  <c r="AA38" i="21"/>
  <c r="W27" i="34"/>
  <c r="AC27" i="34"/>
  <c r="W37" i="39"/>
  <c r="AC37" i="39"/>
  <c r="U12" i="35"/>
  <c r="AB12" i="35"/>
  <c r="C11" i="59"/>
  <c r="D12" i="59"/>
  <c r="T12" i="59"/>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AA7" i="33"/>
  <c r="S7" i="33"/>
  <c r="S4" i="43"/>
  <c r="S6" i="43"/>
  <c r="S5" i="43"/>
  <c r="C23" i="43"/>
  <c r="S3" i="43"/>
  <c r="S2" i="43"/>
  <c r="E46" i="36"/>
  <c r="F46" i="36" s="1"/>
  <c r="G46" i="36" s="1"/>
  <c r="H46" i="36" s="1"/>
  <c r="I46" i="36" s="1"/>
  <c r="J46" i="36" s="1"/>
  <c r="K46" i="36" s="1"/>
  <c r="L46" i="36" s="1"/>
  <c r="M46" i="36" s="1"/>
  <c r="N46" i="36" s="1"/>
  <c r="O46" i="36" s="1"/>
  <c r="AC7" i="35"/>
  <c r="V38" i="35" s="1"/>
  <c r="I38" i="35" s="1"/>
  <c r="W7" i="35"/>
  <c r="D22" i="50"/>
  <c r="B35" i="60" s="1"/>
  <c r="B33" i="60"/>
  <c r="C19" i="43"/>
  <c r="C29" i="43" s="1"/>
  <c r="P24" i="43"/>
  <c r="B66" i="40" s="1"/>
  <c r="P21" i="43"/>
  <c r="B71" i="39" s="1"/>
  <c r="P23" i="43"/>
  <c r="P22" i="43"/>
  <c r="P28" i="43"/>
  <c r="N28" i="43"/>
  <c r="M28" i="43"/>
  <c r="O28" i="43"/>
  <c r="F11" i="15"/>
  <c r="M11" i="15"/>
  <c r="J10" i="15" s="1"/>
  <c r="J5" i="15" s="1"/>
  <c r="G1" i="61"/>
  <c r="AB7" i="35" l="1"/>
  <c r="T38" i="35" s="1"/>
  <c r="G38" i="35" s="1"/>
  <c r="U7" i="37"/>
  <c r="E42" i="37"/>
  <c r="W38" i="21"/>
  <c r="AC38" i="21"/>
  <c r="E27" i="1"/>
  <c r="F24" i="15" s="1"/>
  <c r="J7" i="36"/>
  <c r="W7" i="36" s="1"/>
  <c r="O58" i="59"/>
  <c r="D58" i="59"/>
  <c r="O57" i="59"/>
  <c r="C19" i="15"/>
  <c r="C20" i="15" s="1"/>
  <c r="C26" i="15" s="1"/>
  <c r="G70" i="39"/>
  <c r="H68" i="39"/>
  <c r="D36" i="59"/>
  <c r="T36" i="59"/>
  <c r="S7" i="35"/>
  <c r="F7" i="59"/>
  <c r="F6" i="59" s="1"/>
  <c r="F5" i="59" s="1"/>
  <c r="V8" i="59"/>
  <c r="C32" i="59"/>
  <c r="D31" i="59"/>
  <c r="T48" i="59"/>
  <c r="D48" i="59"/>
  <c r="C24" i="59"/>
  <c r="D23" i="59"/>
  <c r="T56" i="59"/>
  <c r="D56" i="59"/>
  <c r="C10" i="59"/>
  <c r="D11"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E48" i="33" l="1"/>
  <c r="F22" i="11"/>
  <c r="F41" i="11" s="1"/>
  <c r="F25" i="12"/>
  <c r="C27" i="12" s="1"/>
  <c r="C25" i="12" s="1"/>
  <c r="I68" i="39"/>
  <c r="H70" i="39"/>
  <c r="T24" i="59"/>
  <c r="D24" i="59"/>
  <c r="T32" i="59"/>
  <c r="D32" i="59"/>
  <c r="AB7" i="36"/>
  <c r="T36" i="36" s="1"/>
  <c r="G36" i="36" s="1"/>
  <c r="G41" i="36" s="1"/>
  <c r="H41" i="36" s="1"/>
  <c r="C9" i="59"/>
  <c r="D10"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E39" i="43"/>
  <c r="G34" i="43"/>
  <c r="I34" i="43" s="1"/>
  <c r="E34" i="43"/>
  <c r="G37" i="43"/>
  <c r="I37" i="43" s="1"/>
  <c r="E35" i="43"/>
  <c r="G35" i="43"/>
  <c r="I35" i="43" s="1"/>
  <c r="E33" i="43"/>
  <c r="G33" i="43"/>
  <c r="I33" i="43" s="1"/>
  <c r="C27" i="43" s="1"/>
  <c r="E38" i="43"/>
  <c r="G38" i="43"/>
  <c r="I38" i="43" s="1"/>
  <c r="G36" i="43"/>
  <c r="I36" i="43" s="1"/>
  <c r="E36" i="43"/>
  <c r="C23" i="15"/>
  <c r="C24" i="15"/>
  <c r="C43" i="11"/>
  <c r="C61" i="15"/>
  <c r="C67" i="15"/>
  <c r="C38" i="15"/>
  <c r="C26" i="11" l="1"/>
  <c r="D22" i="11" s="1"/>
  <c r="C42" i="11"/>
  <c r="C41" i="11" s="1"/>
  <c r="C44" i="11"/>
  <c r="D41" i="11" s="1"/>
  <c r="C24" i="11"/>
  <c r="C23" i="11"/>
  <c r="C22" i="11" s="1"/>
  <c r="C31" i="11" s="1"/>
  <c r="C25" i="11"/>
  <c r="C26" i="12"/>
  <c r="D25" i="12" s="1"/>
  <c r="C32" i="12" s="1"/>
  <c r="G40" i="36"/>
  <c r="H40" i="36" s="1"/>
  <c r="I70" i="39"/>
  <c r="J68" i="39"/>
  <c r="D9" i="59"/>
  <c r="C8" i="5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29" i="15"/>
  <c r="J14" i="15" s="1"/>
  <c r="C49" i="11" l="1"/>
  <c r="C51" i="11" s="1"/>
  <c r="C52" i="11" s="1"/>
  <c r="K68" i="39"/>
  <c r="J70" i="39"/>
  <c r="C7" i="59"/>
  <c r="T8" i="59"/>
  <c r="D8" i="5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97" i="57" l="1"/>
  <c r="C99" i="57" s="1"/>
  <c r="D60" i="57" s="1"/>
  <c r="D58" i="57" s="1"/>
  <c r="N56" i="57" s="1"/>
  <c r="O59" i="57" s="1"/>
  <c r="C81" i="57"/>
  <c r="K70" i="39"/>
  <c r="L68" i="39"/>
  <c r="D7" i="59"/>
  <c r="C6" i="59"/>
  <c r="C82" i="57"/>
  <c r="E82" i="57" s="1"/>
  <c r="E83" i="57" s="1"/>
  <c r="C83" i="57"/>
  <c r="C98" i="57"/>
  <c r="E98" i="57" s="1"/>
  <c r="E9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56" i="11"/>
  <c r="C57" i="11" s="1"/>
  <c r="B2" i="11"/>
  <c r="B3" i="11"/>
  <c r="L70" i="39" l="1"/>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M70" i="39" l="1"/>
  <c r="N68" i="39"/>
  <c r="D5" i="59"/>
  <c r="M20" i="43"/>
  <c r="O63" i="57"/>
  <c r="O62" i="57"/>
  <c r="L63" i="40"/>
  <c r="K65" i="40"/>
  <c r="E52" i="21"/>
  <c r="F52" i="21" s="1"/>
  <c r="E53" i="21"/>
  <c r="F53" i="21" s="1"/>
  <c r="C48" i="21"/>
  <c r="C49" i="21"/>
  <c r="L59" i="34"/>
  <c r="C47" i="15"/>
  <c r="J41" i="15"/>
  <c r="J42" i="15" s="1"/>
  <c r="Q54" i="15"/>
  <c r="B3" i="15"/>
  <c r="B2" i="15"/>
  <c r="C43" i="15"/>
  <c r="Q65" i="15"/>
  <c r="Q45" i="15"/>
  <c r="Q51" i="15" s="1"/>
  <c r="Q63" i="15"/>
  <c r="B10" i="62" l="1"/>
  <c r="C50" i="21"/>
  <c r="D50" i="21"/>
  <c r="N70" i="39"/>
  <c r="O68" i="39"/>
  <c r="O70" i="39" s="1"/>
  <c r="D35" i="9"/>
  <c r="D34" i="9" s="1"/>
  <c r="B2" i="21"/>
  <c r="B3" i="21"/>
  <c r="L65" i="40"/>
  <c r="M63" i="40"/>
  <c r="M59" i="34"/>
  <c r="N59" i="34" s="1"/>
  <c r="O59" i="34" s="1"/>
  <c r="H7" i="34" s="1"/>
  <c r="L58" i="15"/>
  <c r="L61" i="15" s="1"/>
  <c r="Q64" i="15" s="1"/>
  <c r="Q73" i="15" s="1"/>
  <c r="D19" i="9"/>
  <c r="D20" i="9"/>
  <c r="C20" i="9"/>
  <c r="C19" i="9"/>
  <c r="J7" i="39" l="1"/>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2" i="39"/>
  <c r="H52" i="39" s="1"/>
  <c r="G53" i="34"/>
  <c r="H53" i="34" s="1"/>
  <c r="R48" i="39" l="1"/>
  <c r="E47" i="39"/>
  <c r="I52" i="39"/>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C6" i="62"/>
  <c r="D6" i="62"/>
  <c r="H4" i="52"/>
  <c r="C103" i="9"/>
  <c r="O58" i="9"/>
  <c r="Q57" i="9"/>
  <c r="B21" i="60"/>
  <c r="D9" i="52"/>
  <c r="O61" i="9"/>
  <c r="O59" i="9"/>
  <c r="O60" i="9"/>
  <c r="B34" i="60"/>
  <c r="D58" i="9"/>
  <c r="C81" i="9"/>
  <c r="D52" i="9"/>
  <c r="D107" i="9"/>
  <c r="C104" i="9"/>
  <c r="I4" i="52"/>
  <c r="B19" i="60"/>
  <c r="C97" i="9"/>
  <c r="N48" i="9"/>
  <c r="O57" i="9"/>
  <c r="H122" i="9"/>
  <c r="H5" i="52"/>
  <c r="D17" i="50"/>
  <c r="D126" i="9"/>
  <c r="D8" i="52"/>
  <c r="I111" i="9"/>
  <c r="C93" i="9"/>
  <c r="C86" i="9"/>
  <c r="D4" i="52"/>
  <c r="B37" i="60"/>
  <c r="D9" i="50"/>
  <c r="I103" i="9"/>
  <c r="D30" i="50"/>
  <c r="D7" i="50"/>
  <c r="D8" i="50"/>
  <c r="B22" i="60"/>
  <c r="D36" i="50"/>
  <c r="D37" i="50"/>
  <c r="C78" i="9"/>
  <c r="C73" i="9"/>
  <c r="B29" i="60"/>
  <c r="D125" i="9"/>
  <c r="G14" i="62"/>
  <c r="B6" i="62"/>
  <c r="G4" i="52"/>
  <c r="B41" i="60"/>
  <c r="D44" i="50"/>
  <c r="C72" i="9"/>
  <c r="C79" i="9"/>
  <c r="C80" i="9"/>
  <c r="E80" i="9"/>
  <c r="E81" i="9"/>
  <c r="D113" i="9"/>
  <c r="D38" i="50"/>
  <c r="B62" i="60"/>
  <c r="I110" i="9"/>
  <c r="D15" i="50"/>
  <c r="D16" i="50"/>
  <c r="B30" i="60"/>
  <c r="E4" i="52"/>
  <c r="B38" i="60"/>
  <c r="N52" i="9"/>
  <c r="C64" i="9"/>
  <c r="C63" i="9"/>
  <c r="C67" i="9"/>
  <c r="C68" i="9"/>
  <c r="D54" i="9"/>
  <c r="E121" i="9"/>
  <c r="D121" i="9"/>
  <c r="D122" i="9"/>
  <c r="D5" i="52"/>
  <c r="B39" i="60"/>
  <c r="C85" i="9"/>
  <c r="C95" i="9"/>
  <c r="C96" i="9"/>
  <c r="E96" i="9"/>
  <c r="E97" i="9"/>
  <c r="D28" i="50"/>
  <c r="D29" i="50"/>
  <c r="D106" i="9"/>
  <c r="D112" i="9"/>
  <c r="D117" i="9"/>
  <c r="I115" i="9"/>
  <c r="D23" i="50"/>
  <c r="F122" i="9"/>
  <c r="F5" i="52"/>
  <c r="B42" i="60"/>
  <c r="G121" i="9"/>
  <c r="F121" i="9"/>
  <c r="F4" i="52"/>
  <c r="B40" i="60"/>
  <c r="I121" i="9"/>
  <c r="H121" i="9"/>
  <c r="I102" i="9"/>
  <c r="D45" i="9"/>
  <c r="D53" i="9"/>
  <c r="D4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<sst xmlns="http://schemas.openxmlformats.org/spreadsheetml/2006/main" count="7112" uniqueCount="3035">
  <si>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</si>
  <si>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</si>
  <si>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</si>
  <si>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</si>
  <si>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</si>
  <si>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</si>
  <si>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</si>
  <si>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</si>
  <si>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</si>
  <si>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</si>
  <si>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</si>
  <si>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</si>
  <si>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</si>
  <si>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</si>
  <si>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</si>
  <si>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</si>
  <si>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</si>
  <si>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</si>
  <si>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</si>
  <si>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</si>
  <si>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</si>
  <si>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</si>
  <si>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</si>
  <si>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</si>
  <si>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</si>
  <si>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</si>
  <si>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</si>
  <si>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</si>
  <si>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</si>
  <si>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</si>
  <si>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</si>
  <si>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</si>
  <si>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</si>
  <si>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</si>
  <si>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</si>
  <si>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</si>
  <si>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</si>
  <si>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</si>
  <si>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</si>
  <si>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</si>
  <si>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</si>
  <si>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</si>
  <si>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</si>
  <si>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</si>
  <si>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</si>
  <si>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</si>
  <si>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</si>
  <si>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</si>
  <si>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</si>
  <si>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</si>
  <si>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</si>
  <si>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</si>
  <si>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</si>
  <si>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</si>
  <si>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</si>
  <si>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</si>
  <si>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</si>
  <si>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</si>
  <si>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</si>
  <si>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</si>
  <si>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</si>
  <si>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</si>
  <si>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</si>
  <si>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</si>
  <si>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</si>
  <si>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</si>
  <si>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</si>
  <si>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</si>
  <si>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</si>
  <si>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</si>
  <si>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</si>
  <si>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</si>
  <si>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</si>
  <si>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</si>
  <si>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</si>
  <si>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</si>
  <si>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</si>
  <si>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</si>
  <si>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</si>
  <si>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</si>
  <si>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</si>
  <si>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</si>
  <si>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</si>
  <si>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</si>
  <si>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</si>
  <si>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</si>
  <si>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</si>
  <si>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</si>
  <si>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</si>
  <si>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</si>
  <si>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</si>
  <si>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</si>
  <si>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</si>
  <si>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</si>
  <si>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</si>
  <si>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</si>
  <si>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</si>
  <si>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</si>
  <si>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</si>
  <si>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</si>
  <si>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</si>
  <si>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</si>
  <si>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</si>
  <si>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</si>
  <si>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</si>
  <si>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</si>
  <si>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</si>
  <si>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</si>
  <si>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</si>
  <si>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</si>
  <si>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</si>
  <si>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</si>
  <si>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</si>
  <si>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</si>
  <si>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</si>
  <si>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</si>
  <si>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</si>
  <si>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</si>
  <si>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</si>
  <si>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</si>
  <si>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</si>
  <si>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</si>
  <si>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</si>
  <si>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</si>
  <si>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</si>
  <si>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</si>
  <si>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</si>
  <si>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</si>
  <si>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</si>
  <si>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</si>
  <si>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</si>
  <si>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</si>
  <si>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</si>
  <si>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</si>
  <si>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</si>
  <si>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</si>
  <si>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</si>
  <si>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</si>
  <si>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</si>
  <si>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</si>
  <si>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</si>
  <si>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</si>
  <si>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</si>
  <si>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</si>
  <si>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</si>
  <si>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</si>
  <si>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</si>
  <si>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</si>
  <si>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</si>
  <si>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</si>
  <si>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</si>
  <si>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</si>
  <si>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</si>
  <si>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</si>
  <si>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</si>
  <si>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</si>
  <si>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</si>
  <si>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</si>
  <si>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</si>
  <si>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</si>
  <si>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</si>
  <si>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</si>
  <si>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</si>
  <si>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</si>
  <si>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</si>
  <si>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</si>
  <si>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</si>
  <si>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</si>
  <si>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</si>
  <si>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</si>
  <si>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</si>
  <si>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</si>
  <si>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</si>
  <si>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</si>
  <si>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</si>
  <si>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</si>
  <si>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</si>
  <si>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</si>
  <si>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</si>
  <si>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</si>
  <si>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</si>
  <si>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</si>
  <si>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</si>
  <si>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</si>
  <si>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</si>
  <si>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</si>
  <si>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</si>
  <si>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</si>
  <si>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</si>
  <si>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</si>
  <si>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</si>
  <si>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</si>
  <si>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</si>
  <si>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</si>
  <si>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</si>
  <si>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</si>
  <si>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</si>
  <si>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</si>
  <si>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</si>
  <si>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</si>
  <si>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</si>
  <si>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</si>
  <si>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</si>
  <si>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</si>
  <si>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</si>
  <si>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</si>
  <si>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</si>
  <si>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</si>
  <si>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</si>
  <si>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</si>
  <si>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</si>
  <si>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</si>
  <si>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</si>
  <si>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</si>
  <si>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</si>
  <si>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</si>
  <si>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</si>
  <si>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</si>
  <si>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</si>
  <si>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</si>
  <si>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</si>
  <si>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</si>
  <si>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</si>
  <si>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</si>
  <si>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</si>
  <si>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</si>
  <si>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</si>
  <si>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</si>
  <si>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</si>
  <si>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</si>
  <si>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</si>
  <si>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</si>
  <si>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</si>
  <si>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</si>
  <si>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</si>
  <si>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</si>
  <si>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</si>
  <si>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</si>
  <si>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</si>
  <si>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</si>
  <si>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</si>
  <si>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</si>
  <si>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</si>
  <si>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</si>
  <si>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</si>
  <si>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</si>
  <si>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</si>
  <si>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</si>
  <si>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</si>
  <si>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</si>
  <si>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</si>
  <si>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</si>
  <si>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</si>
  <si>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</si>
  <si>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</si>
  <si>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</si>
  <si>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</si>
  <si>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</si>
  <si>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</si>
  <si>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</si>
  <si>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</si>
  <si>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</si>
  <si>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</si>
  <si>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</si>
  <si>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</si>
  <si>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</si>
  <si>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</si>
  <si>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</si>
  <si>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</si>
  <si>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</si>
  <si>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</si>
  <si>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</si>
  <si>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</si>
  <si>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</si>
  <si>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</si>
  <si>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</si>
  <si>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</si>
  <si>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</si>
  <si>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</si>
  <si>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</si>
  <si>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</si>
  <si>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</si>
  <si>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</si>
  <si>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</si>
  <si>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</si>
  <si>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</si>
  <si>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</si>
  <si>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</si>
  <si>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</si>
  <si>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</si>
  <si>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</si>
  <si>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</si>
  <si>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</si>
  <si>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</si>
  <si>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</si>
  <si>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</si>
  <si>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</si>
  <si>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</si>
  <si>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</si>
  <si>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</si>
  <si>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</si>
  <si>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</si>
  <si>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</si>
  <si>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</si>
  <si>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</si>
  <si>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</si>
  <si>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</si>
  <si>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</si>
  <si>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</si>
  <si>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</si>
  <si>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</si>
  <si>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</si>
  <si>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</si>
  <si>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</si>
  <si>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</si>
  <si>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</si>
  <si>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</si>
  <si>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</si>
  <si>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</si>
  <si>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</si>
  <si>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</si>
  <si>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</si>
  <si>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</si>
  <si>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</si>
  <si>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</si>
  <si>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</si>
  <si>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</si>
  <si>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</si>
  <si>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</si>
  <si>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</si>
  <si>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</si>
  <si>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</si>
  <si>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</si>
  <si>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</si>
  <si>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</si>
  <si>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</si>
  <si>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</si>
  <si>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</si>
  <si>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</si>
  <si>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</si>
  <si>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</si>
  <si>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</si>
  <si>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</si>
  <si>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</si>
  <si>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</si>
  <si>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</si>
  <si>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</si>
  <si>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</si>
  <si>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</si>
  <si>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</si>
  <si>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</si>
  <si>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</si>
  <si>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</si>
  <si>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</si>
  <si>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</si>
  <si>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</si>
  <si>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</si>
  <si>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</si>
  <si>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</si>
  <si>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</si>
  <si>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</si>
  <si>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</si>
  <si>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</si>
  <si>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</si>
  <si>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</si>
  <si>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</si>
  <si>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</si>
  <si>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</si>
  <si>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</si>
  <si>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</si>
  <si>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</si>
  <si>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</si>
  <si>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</si>
  <si>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</si>
  <si>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</si>
  <si>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</si>
  <si>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</si>
  <si>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</si>
  <si>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</si>
  <si>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</si>
  <si>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</si>
  <si>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</si>
  <si>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</si>
  <si>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</si>
  <si>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</si>
  <si>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</si>
  <si>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</si>
  <si>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</si>
  <si>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</si>
  <si>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</si>
  <si>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</si>
  <si>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</si>
  <si>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</si>
  <si>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</si>
  <si>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</si>
  <si>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</si>
  <si>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</si>
  <si>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</si>
  <si>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</si>
  <si>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</si>
  <si>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</si>
  <si>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</si>
  <si>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</si>
  <si>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</si>
  <si>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</si>
  <si>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</si>
  <si>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</si>
  <si>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</si>
  <si>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</si>
  <si>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</si>
  <si>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</si>
  <si>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</si>
  <si>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</si>
  <si>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</si>
  <si>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</si>
  <si>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</si>
  <si>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</si>
  <si>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</si>
  <si>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</si>
  <si>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</si>
  <si>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</si>
  <si>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</si>
  <si>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</si>
  <si>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</si>
  <si>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</si>
  <si>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</si>
  <si>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</si>
  <si>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</si>
  <si>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</si>
  <si>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</si>
  <si>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</si>
  <si>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</si>
  <si>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</si>
  <si>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</si>
  <si>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</si>
  <si>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</si>
  <si>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</si>
  <si>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</si>
  <si>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</si>
  <si>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</si>
  <si>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</si>
  <si>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</si>
  <si>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</si>
  <si>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</si>
  <si>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</si>
  <si>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</si>
  <si>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</si>
  <si>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</si>
  <si>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</si>
  <si>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</si>
  <si>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</si>
  <si>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</si>
  <si>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</si>
  <si>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</si>
  <si>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</si>
  <si>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</si>
  <si>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</si>
  <si>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</si>
  <si>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</si>
  <si>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</si>
  <si>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</si>
  <si>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</si>
  <si>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</si>
  <si>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</si>
  <si>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</si>
  <si>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</si>
  <si>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</si>
  <si>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</si>
  <si>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</si>
  <si>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</si>
  <si>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</si>
  <si>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</si>
  <si>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</si>
  <si>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</si>
  <si>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</si>
  <si>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</si>
  <si>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</si>
  <si>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</si>
  <si>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</si>
  <si>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</si>
  <si>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</si>
  <si>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</si>
  <si>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</si>
  <si>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</si>
  <si>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</si>
  <si>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</si>
  <si>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</si>
  <si>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</si>
  <si>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</si>
  <si>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</si>
  <si>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</si>
  <si>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</si>
  <si>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</si>
  <si>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</si>
  <si>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</si>
  <si>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</si>
  <si>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</si>
  <si>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</si>
  <si>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</si>
  <si>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</si>
  <si>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</si>
  <si>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</si>
  <si>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</si>
  <si>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</si>
  <si>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</si>
  <si>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</si>
  <si>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</si>
  <si>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</si>
  <si>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</si>
  <si>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</si>
  <si>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</si>
  <si>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</si>
  <si>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</si>
  <si>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</si>
  <si>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</si>
  <si>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</si>
  <si>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</si>
  <si>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</si>
  <si>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</si>
  <si>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</si>
  <si>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</si>
  <si>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</si>
  <si>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</si>
  <si>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</si>
  <si>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</si>
  <si>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</si>
  <si>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</si>
  <si>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</si>
  <si>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</si>
  <si>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</si>
  <si>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</si>
  <si>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</si>
  <si>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</si>
  <si>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</si>
  <si>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</si>
  <si>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</si>
  <si>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</si>
  <si>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</si>
  <si>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</si>
  <si>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</si>
  <si>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</si>
  <si>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</si>
  <si>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</si>
  <si>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</si>
  <si>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</si>
  <si>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</si>
  <si>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</si>
  <si>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</si>
  <si>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</si>
  <si>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</si>
  <si>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</si>
  <si>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</si>
  <si>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</si>
  <si>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</si>
  <si>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</si>
  <si>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</si>
  <si>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</si>
  <si>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</si>
  <si>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</si>
  <si>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</si>
  <si>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</si>
  <si>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</si>
  <si>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</si>
  <si>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</si>
  <si>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</si>
  <si>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</si>
  <si>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</si>
  <si>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</si>
  <si>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</si>
  <si>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</si>
  <si>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</si>
  <si>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</si>
  <si>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</si>
  <si>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</si>
  <si>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</si>
  <si>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</si>
  <si>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</si>
  <si>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</si>
  <si>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</si>
  <si>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</si>
  <si>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</si>
  <si>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</si>
  <si>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</si>
  <si>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</si>
  <si>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</si>
  <si>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</si>
  <si>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</si>
  <si>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</si>
  <si>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</si>
  <si>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</si>
  <si>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</si>
  <si>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</si>
  <si>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</si>
  <si>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</si>
  <si>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</si>
  <si>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</si>
  <si>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</si>
  <si>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</si>
  <si>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</si>
  <si>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</si>
  <si>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</si>
  <si>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</si>
  <si>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</si>
  <si>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</si>
  <si>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</si>
  <si>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</si>
  <si>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</si>
  <si>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</si>
  <si>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</si>
  <si>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</si>
  <si>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</si>
  <si>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</si>
  <si>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</si>
  <si>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</si>
  <si>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</si>
  <si>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</si>
  <si>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</si>
  <si>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</si>
  <si>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</si>
  <si>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</si>
  <si>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</si>
  <si>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</si>
  <si>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</si>
  <si>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</si>
  <si>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</si>
  <si>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</si>
  <si>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</si>
  <si>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</si>
  <si>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</si>
  <si>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</si>
  <si>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</si>
  <si>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</si>
  <si>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</si>
  <si>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</si>
  <si>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</si>
  <si>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</si>
  <si>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</si>
  <si>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</si>
  <si>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</si>
  <si>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</si>
  <si>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</si>
  <si>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</si>
  <si>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</si>
  <si>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</si>
  <si>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</si>
  <si>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</si>
  <si>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</si>
  <si>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</si>
  <si>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</si>
  <si>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</si>
  <si>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</si>
  <si>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</si>
  <si>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</si>
  <si>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</si>
  <si>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</si>
  <si>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</si>
  <si>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</si>
  <si>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</si>
  <si>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</si>
  <si>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</si>
  <si>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</si>
  <si>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</si>
  <si>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</si>
  <si>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</si>
  <si>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</si>
  <si>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</si>
  <si>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</si>
  <si>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</si>
  <si>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</si>
  <si>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</si>
  <si>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</si>
  <si>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</si>
  <si>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</si>
  <si>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</si>
  <si>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</si>
  <si>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</si>
  <si>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</si>
  <si>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</si>
  <si>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</si>
  <si>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</si>
  <si>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</si>
  <si>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</si>
  <si>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</si>
  <si>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</si>
  <si>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</si>
  <si>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</si>
  <si>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</si>
  <si>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</si>
  <si>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</si>
  <si>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</si>
  <si>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</si>
  <si>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</si>
  <si>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</si>
  <si>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</si>
  <si>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</si>
  <si>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</si>
  <si>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</si>
  <si>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</si>
  <si>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</si>
  <si>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</si>
  <si>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</si>
  <si>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</si>
  <si>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</si>
  <si>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</si>
  <si>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</si>
  <si>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</si>
  <si>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</si>
  <si>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</si>
  <si>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</si>
  <si>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</si>
  <si>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</si>
  <si>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</si>
  <si>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</si>
  <si>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</si>
  <si>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</si>
  <si>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</si>
  <si>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</si>
  <si>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</si>
  <si>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</si>
  <si>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</si>
  <si>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</si>
  <si>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</si>
  <si>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</si>
  <si>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</si>
  <si>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</si>
  <si>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</si>
  <si>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</si>
  <si>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</si>
  <si>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</si>
  <si>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</si>
  <si>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</si>
  <si>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</si>
  <si>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</si>
  <si>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</si>
  <si>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</si>
  <si>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</si>
  <si>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</si>
  <si>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</si>
  <si>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</si>
  <si>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</si>
  <si>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</si>
  <si>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</si>
  <si>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</si>
  <si>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</si>
  <si>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</si>
  <si>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</si>
  <si>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</si>
  <si>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</si>
  <si>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</si>
  <si>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</si>
  <si>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</si>
  <si>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</si>
  <si>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</si>
  <si>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</si>
  <si>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</si>
  <si>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</si>
  <si>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</si>
  <si>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</si>
  <si>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</si>
  <si>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</si>
  <si>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</si>
  <si>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</si>
  <si>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</si>
  <si>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</si>
  <si>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</si>
  <si>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</si>
  <si>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</si>
  <si>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</si>
  <si>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</si>
  <si>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</si>
  <si>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</si>
  <si>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</si>
  <si>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</si>
  <si>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</si>
  <si>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</si>
  <si>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</si>
  <si>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</si>
  <si>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</si>
  <si>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</si>
  <si>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</si>
  <si>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</si>
  <si>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</si>
  <si>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</si>
  <si>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</si>
  <si>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</si>
  <si>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</si>
  <si>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</si>
  <si>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</si>
  <si>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</si>
  <si>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</si>
  <si>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</si>
  <si>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</si>
  <si>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</si>
  <si>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</si>
  <si>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</si>
  <si>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</si>
  <si>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</si>
  <si>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</si>
  <si>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</si>
  <si>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</si>
  <si>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</si>
  <si>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</si>
  <si>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</si>
  <si>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</si>
  <si>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</si>
  <si>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</si>
  <si>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</si>
  <si>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</si>
  <si>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</si>
  <si>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</si>
  <si>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</si>
  <si>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</si>
  <si>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</si>
  <si>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</si>
  <si>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</si>
  <si>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</si>
  <si>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</si>
  <si>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</si>
  <si>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</si>
  <si>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</si>
  <si>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</si>
  <si>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</si>
  <si>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</si>
  <si>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</si>
  <si>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</si>
  <si>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</si>
  <si>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</si>
  <si>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</si>
  <si>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</si>
  <si>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</si>
  <si>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</si>
  <si>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</si>
  <si>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</si>
  <si>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</si>
  <si>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</si>
  <si>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</si>
  <si>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</si>
  <si>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</si>
  <si>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</si>
  <si>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</si>
  <si>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</si>
  <si>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</si>
  <si>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</si>
  <si>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</si>
  <si>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</si>
  <si>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</si>
  <si>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</si>
  <si>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</si>
  <si>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</si>
  <si>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</si>
  <si>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</si>
  <si>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</si>
  <si>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</si>
  <si>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</si>
  <si>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</si>
  <si>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</si>
  <si>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</si>
  <si>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</si>
  <si>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</si>
  <si>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</si>
  <si>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</si>
  <si>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</si>
  <si>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</si>
  <si>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</si>
  <si>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</si>
  <si>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</si>
  <si>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</si>
  <si>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</si>
  <si>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</si>
  <si>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</si>
  <si>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</si>
  <si>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</si>
  <si>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</si>
  <si>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</si>
  <si>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</si>
  <si>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</si>
  <si>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</si>
  <si>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</si>
  <si>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</si>
  <si>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</si>
  <si>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</si>
  <si>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</si>
  <si>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</si>
  <si>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</si>
  <si>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</si>
  <si>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</si>
  <si>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</si>
  <si>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</si>
  <si>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</si>
  <si>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</si>
  <si>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</si>
  <si>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</si>
  <si>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</si>
  <si>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</si>
  <si>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</si>
  <si>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</si>
  <si>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</si>
  <si>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</si>
  <si>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</si>
  <si>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</si>
  <si>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</si>
  <si>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</si>
  <si>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</si>
  <si>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</si>
  <si>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</si>
  <si>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</si>
  <si>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</si>
  <si>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</si>
  <si>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</si>
  <si>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</si>
  <si>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</si>
  <si>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</si>
  <si>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</si>
  <si>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</si>
  <si>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</si>
  <si>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</si>
  <si>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</si>
  <si>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</si>
  <si>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</si>
  <si>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</si>
  <si>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</si>
  <si>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</si>
  <si>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</si>
  <si>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</si>
  <si>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</si>
  <si>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</si>
  <si>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</si>
  <si>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</si>
  <si>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</si>
  <si>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</si>
  <si>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</si>
  <si>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</si>
  <si>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</si>
  <si>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</si>
  <si>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</si>
  <si>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</si>
  <si>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</si>
  <si>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</si>
  <si>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</si>
  <si>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</si>
  <si>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</si>
  <si>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</si>
  <si>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</si>
  <si>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</si>
  <si>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</si>
  <si>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</si>
  <si>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</si>
  <si>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</si>
  <si>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</si>
  <si>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</si>
  <si>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</si>
  <si>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</si>
  <si>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</si>
  <si>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</si>
  <si>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</si>
  <si>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</si>
  <si>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</si>
  <si>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</si>
  <si>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</si>
  <si>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</si>
  <si>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</si>
  <si>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</si>
  <si>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</si>
  <si>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</si>
  <si>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</si>
  <si>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</si>
  <si>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</si>
  <si>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</si>
  <si>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</si>
  <si>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</si>
  <si>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</si>
  <si>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</si>
  <si>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</si>
  <si>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</si>
  <si>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</si>
  <si>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</si>
  <si>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</si>
  <si>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</si>
  <si>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</si>
  <si>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</si>
  <si>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</si>
  <si>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</si>
  <si>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</si>
  <si>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</si>
  <si>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</si>
  <si>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</si>
  <si>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</si>
  <si>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</si>
  <si>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</si>
  <si>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</si>
  <si>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</si>
  <si>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</si>
  <si>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</si>
  <si>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</si>
  <si>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</si>
  <si>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</si>
  <si>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</si>
  <si>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</si>
  <si>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</si>
  <si>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</si>
  <si>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</si>
  <si>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</si>
  <si>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</si>
  <si>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</si>
  <si>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</si>
  <si>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</si>
  <si>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</si>
  <si>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</si>
  <si>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</si>
  <si>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</si>
  <si>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</si>
  <si>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</si>
  <si>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</si>
  <si>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</si>
  <si>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</si>
  <si>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</si>
  <si>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</si>
  <si>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</si>
  <si>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</si>
  <si>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</si>
  <si>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</si>
  <si>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</si>
  <si>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</si>
  <si>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</si>
  <si>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</si>
  <si>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</si>
  <si>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</si>
  <si>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</si>
  <si>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</si>
  <si>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</si>
  <si>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</si>
  <si>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</si>
  <si>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</si>
  <si>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</si>
  <si>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</si>
  <si>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</si>
  <si>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</si>
  <si>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</si>
  <si>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</si>
  <si>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</si>
  <si>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</si>
  <si>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</si>
  <si>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</si>
  <si>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</si>
  <si>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</si>
  <si>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</si>
  <si>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</si>
  <si>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</si>
  <si>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</si>
  <si>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</si>
  <si>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</si>
  <si>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</si>
  <si>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</si>
  <si>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</si>
  <si>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</si>
  <si>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</si>
  <si>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</si>
  <si>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</si>
  <si>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</si>
  <si>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</si>
  <si>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</si>
  <si>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</si>
  <si>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</si>
  <si>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</si>
  <si>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</si>
  <si>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</si>
  <si>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</si>
  <si>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</si>
  <si>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</si>
  <si>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</si>
  <si>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</si>
  <si>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</si>
  <si>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</si>
  <si>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</si>
  <si>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</si>
  <si>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</si>
  <si>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</si>
  <si>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</si>
  <si>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</si>
  <si>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</si>
  <si>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</si>
  <si>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</si>
  <si>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</si>
  <si>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</si>
  <si>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</si>
  <si>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</si>
  <si>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</si>
  <si>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</si>
  <si>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</si>
  <si>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</si>
  <si>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</si>
  <si>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</si>
  <si>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</si>
  <si>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</si>
  <si>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</si>
  <si>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</si>
  <si>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</si>
  <si>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</si>
  <si>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</si>
  <si>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</si>
  <si>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</si>
  <si>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</si>
  <si>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</si>
  <si>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</si>
  <si>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</si>
  <si>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</si>
  <si>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</si>
  <si>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</si>
  <si>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</si>
  <si>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</si>
  <si>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</si>
  <si>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</si>
  <si>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</si>
  <si>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</si>
  <si>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</si>
  <si>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</si>
  <si>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</si>
  <si>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</si>
  <si>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</si>
  <si>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</si>
  <si>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</si>
  <si>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</si>
  <si>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</si>
  <si>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</si>
  <si>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</si>
  <si>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</si>
  <si>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</si>
  <si>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</si>
  <si>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</si>
  <si>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</si>
  <si>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</si>
  <si>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</si>
  <si>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</si>
  <si>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</si>
  <si>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</si>
  <si>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</si>
  <si>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</si>
  <si>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</si>
  <si>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</si>
  <si>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</si>
  <si>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</si>
  <si>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</si>
  <si>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</si>
  <si>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</si>
  <si>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</si>
  <si>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</si>
  <si>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</si>
  <si>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</si>
  <si>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</si>
  <si>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</si>
  <si>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</si>
  <si>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</si>
  <si>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</si>
  <si>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</si>
  <si>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</si>
  <si>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</si>
  <si>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</si>
  <si>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</si>
  <si>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</si>
  <si>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</si>
  <si>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</si>
  <si>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</si>
  <si>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</si>
  <si>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</si>
  <si>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</si>
  <si>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</si>
  <si>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</si>
  <si>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</si>
  <si>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</si>
  <si>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</si>
  <si>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</si>
  <si>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</si>
  <si>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</si>
  <si>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</si>
  <si>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</si>
  <si>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</si>
  <si>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</si>
  <si>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</si>
  <si>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</si>
  <si>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</si>
  <si>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</si>
  <si>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</si>
  <si>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</si>
  <si>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</si>
  <si>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</si>
  <si>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</si>
  <si>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</si>
  <si>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</si>
  <si>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</si>
  <si>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</si>
  <si>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</si>
  <si>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</si>
  <si>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</si>
  <si>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</si>
  <si>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</si>
  <si>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</si>
  <si>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</si>
  <si>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</si>
  <si>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</si>
  <si>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</si>
  <si>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</si>
  <si>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</si>
  <si>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</si>
  <si>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</si>
  <si>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</si>
  <si>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</si>
  <si>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</si>
  <si>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</si>
  <si>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</si>
  <si>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</si>
  <si>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</si>
  <si>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</si>
  <si>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</si>
  <si>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</si>
  <si>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</si>
  <si>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</si>
  <si>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</si>
  <si>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</si>
  <si>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</si>
  <si>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</si>
  <si>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</si>
  <si>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</si>
  <si>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</si>
  <si>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</si>
  <si>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</si>
  <si>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</si>
  <si>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</si>
  <si>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</si>
  <si>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</si>
  <si>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</si>
  <si>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</si>
  <si>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</si>
  <si>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</si>
  <si>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</si>
  <si>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</si>
  <si>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</si>
  <si>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</si>
  <si>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</si>
  <si>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</si>
  <si>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</si>
  <si>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</si>
  <si>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</si>
  <si>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</si>
  <si>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</si>
  <si>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</si>
  <si>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</si>
  <si>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</si>
  <si>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</si>
  <si>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</si>
  <si>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</si>
  <si>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</si>
  <si>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</si>
  <si>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</si>
  <si>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</si>
  <si>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</si>
  <si>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</si>
  <si>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</si>
  <si>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</si>
  <si>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</si>
  <si>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</si>
  <si>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</si>
  <si>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</si>
  <si>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</si>
  <si>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</si>
  <si>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</si>
  <si>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</si>
  <si>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</si>
  <si>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</si>
  <si>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</si>
  <si>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</si>
  <si>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</si>
  <si>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</si>
  <si>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</si>
  <si>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</si>
  <si>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</si>
  <si>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</si>
  <si>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</si>
  <si>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</si>
  <si>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</si>
  <si>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</si>
  <si>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</si>
  <si>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</si>
  <si>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</si>
  <si>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</si>
  <si>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</si>
  <si>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</si>
  <si>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</si>
  <si>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</si>
  <si>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</si>
  <si>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</si>
  <si>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</si>
  <si>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</si>
  <si>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</si>
  <si>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</si>
  <si>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</si>
  <si>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</si>
  <si>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</si>
  <si>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</si>
  <si>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</si>
  <si>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</si>
  <si>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</si>
  <si>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</si>
  <si>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</si>
  <si>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</si>
  <si>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</si>
  <si>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</si>
  <si>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</si>
  <si>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</si>
  <si>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</si>
  <si>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</si>
  <si>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</si>
  <si>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</si>
  <si>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</si>
  <si>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</si>
  <si>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</si>
  <si>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</si>
  <si>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</si>
  <si>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</si>
  <si>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</si>
  <si>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</si>
  <si>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</si>
  <si>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</si>
  <si>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</si>
  <si>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</si>
  <si>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</si>
  <si>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</si>
  <si>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</si>
  <si>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</si>
  <si>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</si>
  <si>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</si>
  <si>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</si>
  <si>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</si>
  <si>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</si>
  <si>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</si>
  <si>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</si>
  <si>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</si>
  <si>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</si>
  <si>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</si>
  <si>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</si>
  <si>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</si>
  <si>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</si>
  <si>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</si>
  <si>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</si>
  <si>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</si>
  <si>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</si>
  <si>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</si>
  <si>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</si>
  <si>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</si>
  <si>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</si>
  <si>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</si>
  <si>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</si>
  <si>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</si>
  <si>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</si>
  <si>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</si>
  <si>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</si>
  <si>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</si>
  <si>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</si>
  <si>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</si>
  <si>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</si>
  <si>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</si>
  <si>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</si>
  <si>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</si>
  <si>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</si>
  <si>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</si>
  <si>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</si>
  <si>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</si>
  <si>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</si>
  <si>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</si>
  <si>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</si>
  <si>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</si>
  <si>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</si>
  <si>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</si>
  <si>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</si>
  <si>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</si>
  <si>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</si>
  <si>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</si>
  <si>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</si>
  <si>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</si>
  <si>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</si>
  <si>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</si>
  <si>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</si>
  <si>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</si>
  <si>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</si>
  <si>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</si>
  <si>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</si>
  <si>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</si>
  <si>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</si>
  <si>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</si>
  <si>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</si>
  <si>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</si>
  <si>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</si>
  <si>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</si>
  <si>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</si>
  <si>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</si>
  <si>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</si>
  <si>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</si>
  <si>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</si>
  <si>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</si>
  <si>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</si>
  <si>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</si>
  <si>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</si>
  <si>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</si>
  <si>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</si>
  <si>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</si>
  <si>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</si>
  <si>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</si>
  <si>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</si>
  <si>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</si>
  <si>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</si>
  <si>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</si>
  <si>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</si>
  <si>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</si>
  <si>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</si>
  <si>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</si>
  <si>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</si>
  <si>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</si>
  <si>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</si>
  <si>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</si>
  <si>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</si>
  <si>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</si>
  <si>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</si>
  <si>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</si>
  <si>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</si>
  <si>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</si>
  <si>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</si>
  <si>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</si>
  <si>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</si>
  <si>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</si>
  <si>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</si>
  <si>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</si>
  <si>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</si>
  <si>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</si>
  <si>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</si>
  <si>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</si>
  <si>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</si>
  <si>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</si>
  <si>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</si>
  <si>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</si>
  <si>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</si>
  <si>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</si>
  <si>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</si>
  <si>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</si>
  <si>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</si>
  <si>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</si>
  <si>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</si>
  <si>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</si>
  <si>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</si>
  <si>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</si>
  <si>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</si>
  <si>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</si>
  <si>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</si>
  <si>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</si>
  <si>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</si>
  <si>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</si>
  <si>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</si>
  <si>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</si>
  <si>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</si>
  <si>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</si>
  <si>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</si>
  <si>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</si>
  <si>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</si>
  <si>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</si>
  <si>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</si>
  <si>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</si>
  <si>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</si>
  <si>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</si>
  <si>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</si>
  <si>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</si>
  <si>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</si>
  <si>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</si>
  <si>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</si>
  <si>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</si>
  <si>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</si>
  <si>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</si>
  <si>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</si>
  <si>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</si>
  <si>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</si>
  <si>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</si>
  <si>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</si>
  <si>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</si>
  <si>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</si>
  <si>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</si>
  <si>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</si>
  <si>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</si>
  <si>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</si>
  <si>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</si>
  <si>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</si>
  <si>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</si>
  <si>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</si>
  <si>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</si>
  <si>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</si>
  <si>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</si>
  <si>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</si>
  <si>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</si>
  <si>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</si>
  <si>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</si>
  <si>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</si>
  <si>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</si>
  <si>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</si>
  <si>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</si>
  <si>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</si>
  <si>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</si>
  <si>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</si>
  <si>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</si>
  <si>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</si>
  <si>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</si>
  <si>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</si>
  <si>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</si>
  <si>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</si>
  <si>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</si>
  <si>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</si>
  <si>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</si>
  <si>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</si>
  <si>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</si>
  <si>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</si>
  <si>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</si>
  <si>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</si>
  <si>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</si>
  <si>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</si>
  <si>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</si>
  <si>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</si>
  <si>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</si>
  <si>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</si>
  <si>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</si>
  <si>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</si>
  <si>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</si>
  <si>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</si>
  <si>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</si>
  <si>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</si>
  <si>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</si>
  <si>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</si>
  <si>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</si>
  <si>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</si>
  <si>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</si>
  <si>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</si>
  <si>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</si>
  <si>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</si>
  <si>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</si>
  <si>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</si>
  <si>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</si>
  <si>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</si>
  <si>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</si>
  <si>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</si>
  <si>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</si>
  <si>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</si>
  <si>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</si>
  <si>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</si>
  <si>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</si>
  <si>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</si>
  <si>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</si>
  <si>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</si>
  <si>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</si>
  <si>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</si>
  <si>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</si>
  <si>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</si>
  <si>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</si>
  <si>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</si>
  <si>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</si>
  <si>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</si>
  <si>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</si>
  <si>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</si>
  <si>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</si>
  <si>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</si>
  <si>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</si>
  <si>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</si>
  <si>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</si>
  <si>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</si>
  <si>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</si>
  <si>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</si>
  <si>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</si>
  <si>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</si>
  <si>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</si>
  <si>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</si>
  <si>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</si>
  <si>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</si>
  <si>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</si>
  <si>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</si>
  <si>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</si>
  <si>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</si>
  <si>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</si>
  <si>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</si>
  <si>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</si>
  <si>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</si>
  <si>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</si>
  <si>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</si>
  <si>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</si>
  <si>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</si>
  <si>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</si>
  <si>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</si>
  <si>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</si>
  <si>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</si>
  <si>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</si>
  <si>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</si>
  <si>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</si>
  <si>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</si>
  <si>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</si>
  <si>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</si>
  <si>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</si>
  <si>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</si>
  <si>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</si>
  <si>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</si>
  <si>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</si>
  <si>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</si>
  <si>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</si>
  <si>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</si>
  <si>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</si>
  <si>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</si>
  <si>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</si>
  <si>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</si>
  <si>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</si>
  <si>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</si>
  <si>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</si>
  <si>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</si>
  <si>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</si>
  <si>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</si>
  <si>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</si>
  <si>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</si>
  <si>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</si>
  <si>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</si>
  <si>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</si>
  <si>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</si>
  <si>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</si>
  <si>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</si>
  <si>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</si>
  <si>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</si>
  <si>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</si>
  <si>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</si>
  <si>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</si>
  <si>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</si>
  <si>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</si>
  <si>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</si>
  <si>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</si>
  <si>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</si>
  <si>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</si>
  <si>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</si>
  <si>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</si>
  <si>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</si>
  <si>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</si>
  <si>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</si>
  <si>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</si>
  <si>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</si>
  <si>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</si>
  <si>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</si>
  <si>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</si>
  <si>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</si>
  <si>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</si>
  <si>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</si>
  <si>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</si>
  <si>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</si>
  <si>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</si>
  <si>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</si>
  <si>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</si>
  <si>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</si>
  <si>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</si>
  <si>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</si>
  <si>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</si>
  <si>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</si>
  <si>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</si>
  <si>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</si>
  <si>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</si>
  <si>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</si>
  <si>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</si>
  <si>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</si>
  <si>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</si>
  <si>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</si>
  <si>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</si>
  <si>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</si>
  <si>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</si>
  <si>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</si>
  <si>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</si>
  <si>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</si>
  <si>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</si>
  <si>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</si>
  <si>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</si>
  <si>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</si>
  <si>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</si>
  <si>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</si>
  <si>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</si>
  <si>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</si>
  <si>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</si>
  <si>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</si>
  <si>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</si>
  <si>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</si>
  <si>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</si>
  <si>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</si>
  <si>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</si>
  <si>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</si>
  <si>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</si>
  <si>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</si>
  <si>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</si>
  <si>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</si>
  <si>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</si>
  <si>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</si>
  <si>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</si>
  <si>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</si>
  <si>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</si>
  <si>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</si>
  <si>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</si>
  <si>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</si>
  <si>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</si>
  <si>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</si>
  <si>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</si>
  <si>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</si>
  <si>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</si>
  <si>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</si>
  <si>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</si>
  <si>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</si>
  <si>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</si>
  <si>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</si>
  <si>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</si>
  <si>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</si>
  <si>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</si>
  <si>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</si>
  <si>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</si>
  <si>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</si>
  <si>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</si>
  <si>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</si>
  <si>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</si>
  <si>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</si>
  <si>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</si>
  <si>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</si>
  <si>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</si>
  <si>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</si>
  <si>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</si>
  <si>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</si>
  <si>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</si>
  <si>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</si>
  <si>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</si>
  <si>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</si>
  <si>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</si>
  <si>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</si>
  <si>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</si>
  <si>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</si>
  <si>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</si>
  <si>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</si>
  <si>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</si>
  <si>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</si>
  <si>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</si>
  <si>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</si>
  <si>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</si>
  <si>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</si>
  <si>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</si>
  <si>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</si>
  <si>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</si>
  <si>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</si>
  <si>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</si>
  <si>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</si>
  <si>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</si>
  <si>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</si>
  <si>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</si>
  <si>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</si>
  <si>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</si>
  <si>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</si>
  <si>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</si>
  <si>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</si>
  <si>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</si>
  <si>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</si>
  <si>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</si>
  <si>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</si>
  <si>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</si>
  <si>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</si>
  <si>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</si>
  <si>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</si>
  <si>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</si>
  <si>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</si>
  <si>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</si>
  <si>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</si>
  <si>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</si>
  <si>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</si>
  <si>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</si>
  <si>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</si>
  <si>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</si>
  <si>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</si>
  <si>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</si>
  <si>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</si>
  <si>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</si>
  <si>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</si>
  <si>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</si>
  <si>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</si>
  <si>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</si>
  <si>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</si>
  <si>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</si>
  <si>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</si>
  <si>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</si>
  <si>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</si>
  <si>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</si>
  <si>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</si>
  <si>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</si>
  <si>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</si>
  <si>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</si>
  <si>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</si>
  <si>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</si>
  <si>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</si>
  <si>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</si>
  <si>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</si>
  <si>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</si>
  <si>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</si>
  <si>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</si>
  <si>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</si>
  <si>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</si>
  <si>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</si>
  <si>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</si>
  <si>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</si>
  <si>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</si>
  <si>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</si>
  <si>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</si>
  <si>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</si>
  <si>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</si>
  <si>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</si>
  <si>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</si>
  <si>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</si>
  <si>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</si>
  <si>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</si>
  <si>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</si>
  <si>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</si>
  <si>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</si>
  <si>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</si>
  <si>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</si>
  <si>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</si>
  <si>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</si>
  <si>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</si>
  <si>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</si>
  <si>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</si>
  <si>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</si>
  <si>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</si>
  <si>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</si>
  <si>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</si>
  <si>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</si>
  <si>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</si>
  <si>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</si>
  <si>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</si>
  <si>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</si>
  <si>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</si>
  <si>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</si>
  <si>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</si>
  <si>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</si>
  <si>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</si>
  <si>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</si>
  <si>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</si>
  <si>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</si>
  <si>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</si>
  <si>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</si>
  <si>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</si>
  <si>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</si>
  <si>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</si>
  <si>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</si>
  <si>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</si>
  <si>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</si>
  <si>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</si>
  <si>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</si>
  <si>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</si>
  <si>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</si>
  <si>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</si>
  <si>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</si>
  <si>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</si>
  <si>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</si>
  <si>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</si>
  <si>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</si>
  <si>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</si>
  <si>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</si>
  <si>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</si>
  <si>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</si>
  <si>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</si>
  <si>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</si>
  <si>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</si>
  <si>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</si>
  <si>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</si>
  <si>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</si>
  <si>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</si>
  <si>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</si>
  <si>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</si>
  <si>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</si>
  <si>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</si>
  <si>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</si>
  <si>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</si>
  <si>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</si>
  <si>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</si>
  <si>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</si>
  <si>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</si>
  <si>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</si>
  <si>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</si>
  <si>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</si>
  <si>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</si>
  <si>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</si>
  <si>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</si>
  <si>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</si>
  <si>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</si>
  <si>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</si>
  <si>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</si>
  <si>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</si>
  <si>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</si>
  <si>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</si>
  <si>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</si>
  <si>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</si>
  <si>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</si>
  <si>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</si>
  <si>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</si>
  <si>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</si>
  <si>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</si>
  <si>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</si>
  <si>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</si>
  <si>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</si>
  <si>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</si>
  <si>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</si>
  <si>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</si>
  <si>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</si>
  <si>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</si>
  <si>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</si>
  <si>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</si>
  <si>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</si>
  <si>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</si>
  <si>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</si>
  <si>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</si>
  <si>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</si>
  <si>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</si>
  <si>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</si>
  <si>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</si>
  <si>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</si>
  <si>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</si>
  <si>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</si>
  <si>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</si>
  <si>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</si>
  <si>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</si>
  <si>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</si>
  <si>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</si>
  <si>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</si>
  <si>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</si>
  <si>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</si>
  <si>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</si>
  <si>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</si>
  <si>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</si>
  <si>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</si>
  <si>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</si>
  <si>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</si>
  <si>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</si>
  <si>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</si>
  <si>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</si>
  <si>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</si>
  <si>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</si>
  <si>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</si>
  <si>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</si>
  <si>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</si>
  <si>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</si>
  <si>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</si>
  <si>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</si>
  <si>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</si>
  <si>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</si>
  <si>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</si>
  <si>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</si>
  <si>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</si>
  <si>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</si>
  <si>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</si>
  <si>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</si>
  <si>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</si>
  <si>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</si>
  <si>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</si>
  <si>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</si>
  <si>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</si>
  <si>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</si>
  <si>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</si>
  <si>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</si>
  <si>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</si>
  <si>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</si>
  <si>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</si>
  <si>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</si>
  <si>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</si>
  <si>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</si>
  <si>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</si>
  <si>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</si>
  <si>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</si>
  <si>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</si>
  <si>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</si>
  <si>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</si>
  <si>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</si>
  <si>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</si>
  <si>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</si>
  <si>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</si>
  <si>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</si>
  <si>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</si>
  <si>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</si>
  <si>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</si>
  <si>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</si>
  <si>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</si>
  <si>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</si>
  <si>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</si>
  <si>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</si>
  <si>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</si>
  <si>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</si>
  <si>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</si>
  <si>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</si>
  <si>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</si>
  <si>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</si>
  <si>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</si>
  <si>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</si>
  <si>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</si>
  <si>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</si>
  <si>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</si>
  <si>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</si>
  <si>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</si>
  <si>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</si>
  <si>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</si>
  <si>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</si>
  <si>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</si>
  <si>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</si>
  <si>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</si>
  <si>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</si>
  <si>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</si>
  <si>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</si>
  <si>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</si>
  <si>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</si>
  <si>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</si>
  <si>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</si>
  <si>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</si>
  <si>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</si>
  <si>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</si>
  <si>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</si>
  <si>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</si>
  <si>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</si>
  <si>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</si>
  <si>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</si>
  <si>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</si>
  <si>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</si>
  <si>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</si>
  <si>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</si>
  <si>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</si>
  <si>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</si>
  <si>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</si>
  <si>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</si>
  <si>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</si>
  <si>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</si>
  <si>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</si>
  <si>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</si>
  <si>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</si>
  <si>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</si>
  <si>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</si>
  <si>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</si>
  <si>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</si>
  <si>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</si>
  <si>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</si>
  <si>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</si>
  <si>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</si>
  <si>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</si>
  <si>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</si>
  <si>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</si>
  <si>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</si>
  <si>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</si>
  <si>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</si>
  <si>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</si>
  <si>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</si>
  <si>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</si>
  <si>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</si>
  <si>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</si>
  <si>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</si>
  <si>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</si>
  <si>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</si>
  <si>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</si>
  <si>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</si>
  <si>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</si>
  <si>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</si>
  <si>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</si>
  <si>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</si>
  <si>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</si>
  <si>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</si>
  <si>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</si>
  <si>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</si>
  <si>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</si>
  <si>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</si>
  <si>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</si>
  <si>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</si>
  <si>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</si>
  <si>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</si>
  <si>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</si>
  <si>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</si>
  <si>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</si>
  <si>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</si>
  <si>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</si>
  <si>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</si>
  <si>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</si>
  <si>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</si>
  <si>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</si>
  <si>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</si>
  <si>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</si>
  <si>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</si>
  <si>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</si>
  <si>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</si>
  <si>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</si>
  <si>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</si>
  <si>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</si>
  <si>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</si>
  <si>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</si>
  <si>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</si>
  <si>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</si>
  <si>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</si>
  <si>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</si>
  <si>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</si>
  <si>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</si>
  <si>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</si>
  <si>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</si>
  <si>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</si>
  <si>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</si>
  <si>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</si>
  <si>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</si>
  <si>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</si>
  <si>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</si>
  <si>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</si>
  <si>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</si>
  <si>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</si>
  <si>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</si>
  <si>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</si>
  <si>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</si>
  <si>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</si>
  <si>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</si>
  <si>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</si>
  <si>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</si>
  <si>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</si>
  <si>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</si>
  <si>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</si>
  <si>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</si>
  <si>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</si>
  <si>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</si>
  <si>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</si>
  <si>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</si>
  <si>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</si>
  <si>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</si>
  <si>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</si>
  <si>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</si>
  <si>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</si>
  <si>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</si>
  <si>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</si>
  <si>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</si>
  <si>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</si>
  <si>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</si>
  <si>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</si>
  <si>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</si>
  <si>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</si>
  <si>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</si>
  <si>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</si>
  <si>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</si>
  <si>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</si>
  <si>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</si>
  <si>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</si>
  <si>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</si>
  <si>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</si>
  <si>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</si>
  <si>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</si>
  <si>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</si>
  <si>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</si>
  <si>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</si>
  <si>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</si>
  <si>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</si>
  <si>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</si>
  <si>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</si>
  <si>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</si>
  <si>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</si>
  <si>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</si>
  <si>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</si>
  <si>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</si>
  <si>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</si>
  <si>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</si>
  <si>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</si>
  <si>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</si>
  <si>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</si>
  <si>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</si>
  <si>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</si>
  <si>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</si>
  <si>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</si>
  <si>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</si>
  <si>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</si>
  <si>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</si>
  <si>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</si>
  <si>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</si>
  <si>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</si>
  <si>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</si>
  <si>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</si>
  <si>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</si>
  <si>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</si>
  <si>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</si>
  <si>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</si>
  <si>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</si>
  <si>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</si>
  <si>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</si>
  <si>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</si>
  <si>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</si>
  <si>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</si>
  <si>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</si>
  <si>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</si>
  <si>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</si>
  <si>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</si>
  <si>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</si>
  <si>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</si>
  <si>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</si>
  <si>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</si>
  <si>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</si>
  <si>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</si>
  <si>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</si>
  <si>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</si>
  <si>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</si>
  <si>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</si>
  <si>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</si>
  <si>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</si>
  <si>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</si>
  <si>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</si>
  <si>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</si>
  <si>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</si>
  <si>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</si>
  <si>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</si>
  <si>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</si>
  <si>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</si>
  <si>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</si>
  <si>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</si>
  <si>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</si>
  <si>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</si>
  <si>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</si>
  <si>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</si>
  <si>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</si>
  <si>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</si>
  <si>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</si>
  <si>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</si>
  <si>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</si>
  <si>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</si>
  <si>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</si>
  <si>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</si>
  <si>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</si>
  <si>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</si>
  <si>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</si>
  <si>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</si>
  <si>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</si>
  <si>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</si>
  <si>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</si>
  <si>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</si>
  <si>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</si>
  <si>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</si>
  <si>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</si>
  <si>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</si>
  <si>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</si>
  <si>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</si>
  <si>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</si>
  <si>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</si>
  <si>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</si>
  <si>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</si>
  <si>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</si>
  <si>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</si>
  <si>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</si>
  <si>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</si>
  <si>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</si>
  <si>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</si>
  <si>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</si>
  <si>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</si>
  <si>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</si>
  <si>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</si>
  <si>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</si>
  <si>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</si>
  <si>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</si>
  <si>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</si>
  <si>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</si>
  <si>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</si>
  <si>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</si>
  <si>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</si>
  <si>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</si>
  <si>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</si>
  <si>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</si>
  <si>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</si>
  <si>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</si>
  <si>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</si>
  <si>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</si>
  <si>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</si>
  <si>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</si>
  <si>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</si>
  <si>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</si>
  <si>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</si>
  <si>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</si>
  <si>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</si>
  <si>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</si>
  <si>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</si>
  <si>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</si>
  <si>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</si>
  <si>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</si>
  <si>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</si>
  <si>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</si>
  <si>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</si>
  <si>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</si>
  <si>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</si>
  <si>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</si>
  <si>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</si>
  <si>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</si>
  <si>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</si>
  <si>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</si>
  <si>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</si>
  <si>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</si>
  <si>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</si>
  <si>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</si>
  <si>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</si>
  <si>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</si>
  <si>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</si>
  <si>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</si>
  <si>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</si>
  <si>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</si>
  <si>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</si>
  <si>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</si>
  <si>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</si>
  <si>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</si>
  <si>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</si>
  <si>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</si>
  <si>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</si>
  <si>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</si>
  <si>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</si>
  <si>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</si>
  <si>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</si>
  <si>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</si>
  <si>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</si>
  <si>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</si>
  <si>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</si>
  <si>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</si>
  <si>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</si>
  <si>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</si>
  <si>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</si>
  <si>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</si>
  <si>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</si>
  <si>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</si>
  <si>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</si>
  <si>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</si>
  <si>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</si>
  <si>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</si>
  <si>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</si>
  <si>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</si>
  <si>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</si>
  <si>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</si>
  <si>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</si>
  <si>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</si>
  <si>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</si>
  <si>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</si>
  <si>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</si>
  <si>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</si>
  <si>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</si>
  <si>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</si>
  <si>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</si>
  <si>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</si>
  <si>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</si>
  <si>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</si>
  <si>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</si>
  <si>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</si>
  <si>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</si>
  <si>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</si>
  <si>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</si>
  <si>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</si>
  <si>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</si>
  <si>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</si>
  <si>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</si>
  <si>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</si>
  <si>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</si>
  <si>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</si>
  <si>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</si>
  <si>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</si>
  <si>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</si>
  <si>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</si>
  <si>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</si>
  <si>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</si>
  <si>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</si>
  <si>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</si>
  <si>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</si>
  <si>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</si>
  <si>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</si>
  <si>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</si>
  <si>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</si>
  <si>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</si>
  <si>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</si>
  <si>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</si>
  <si>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</si>
  <si>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</si>
  <si>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</si>
  <si>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</si>
  <si>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</si>
  <si>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</si>
  <si>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</si>
  <si>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</si>
  <si>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</si>
  <si>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</si>
  <si>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</si>
  <si>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</si>
  <si>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</si>
  <si>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</si>
  <si>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</si>
  <si>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</si>
  <si>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</si>
  <si>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</si>
  <si>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</si>
  <si>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</si>
  <si>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</si>
  <si>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</si>
  <si>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</si>
  <si>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</si>
  <si>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</si>
  <si>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</si>
  <si>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</si>
  <si>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</si>
  <si>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</si>
  <si>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</si>
  <si>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</si>
  <si>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</si>
  <si>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</si>
  <si>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</si>
  <si>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</si>
  <si>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</si>
  <si>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</si>
  <si>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</si>
  <si>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</si>
  <si>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</si>
  <si>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</si>
  <si>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</si>
  <si>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</si>
  <si>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</si>
  <si>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</si>
  <si>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</si>
  <si>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</si>
  <si>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</si>
  <si>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</si>
  <si>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</si>
  <si>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</si>
  <si>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</si>
  <si>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</si>
  <si>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</si>
  <si>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</si>
  <si>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</si>
  <si>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</si>
  <si>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</si>
  <si>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</si>
  <si>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</si>
  <si>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</si>
  <si>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</si>
  <si>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</si>
  <si>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</si>
  <si>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</si>
  <si>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</si>
  <si>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</si>
  <si>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</si>
  <si>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</si>
  <si>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</si>
  <si>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</si>
  <si>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</si>
  <si>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</si>
  <si>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</si>
  <si>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</si>
  <si>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</si>
  <si>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</si>
  <si>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</si>
  <si>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</si>
  <si>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</si>
  <si>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</si>
  <si>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</si>
  <si>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</si>
  <si>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</si>
  <si>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</si>
  <si>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</si>
  <si>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</si>
  <si>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</si>
  <si>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</si>
  <si>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</si>
  <si>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</si>
  <si>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</si>
  <si>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</si>
  <si>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</si>
  <si>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</si>
  <si>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</si>
  <si>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</si>
  <si>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</si>
  <si>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</si>
  <si>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</si>
  <si>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</si>
  <si>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</si>
  <si>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</si>
  <si>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</si>
  <si>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</si>
  <si>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</si>
  <si>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</si>
  <si>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</si>
  <si>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</si>
  <si>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</si>
  <si>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</si>
  <si>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</si>
  <si>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</si>
  <si>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</si>
  <si>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</si>
  <si>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</si>
  <si>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</si>
  <si>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</si>
  <si>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</si>
  <si>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</si>
  <si>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</si>
  <si>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</si>
  <si>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</si>
  <si>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</si>
  <si>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</si>
  <si>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</si>
  <si>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</si>
  <si>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</si>
  <si>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</si>
  <si>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</si>
  <si>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</si>
  <si>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</si>
  <si>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</si>
  <si>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</si>
  <si>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</si>
  <si>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</si>
  <si>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</si>
  <si>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</si>
  <si>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</si>
  <si>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</si>
  <si>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</si>
  <si>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</si>
  <si>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</si>
  <si>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</si>
  <si>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</si>
  <si>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</si>
  <si>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</si>
  <si>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</si>
  <si>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</si>
  <si>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</si>
  <si>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</si>
  <si>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</si>
  <si>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</si>
  <si>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</si>
  <si>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</si>
  <si>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</si>
  <si>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</si>
  <si>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</si>
  <si>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</si>
  <si>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</si>
  <si>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</si>
  <si>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</si>
  <si>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</si>
  <si>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</si>
  <si>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</si>
  <si>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</si>
  <si>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</si>
  <si>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</si>
  <si>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</si>
  <si>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</si>
  <si>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</si>
  <si>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</si>
  <si>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</si>
  <si>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</si>
  <si>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</si>
  <si>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</si>
  <si>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</si>
  <si>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</si>
  <si>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</si>
  <si>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</si>
  <si>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</si>
  <si>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</si>
  <si>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</si>
  <si>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</si>
  <si>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</si>
  <si>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</si>
  <si>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</si>
  <si>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</si>
  <si>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</si>
  <si>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</si>
  <si>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</si>
  <si>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</si>
  <si>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</si>
  <si>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</si>
  <si>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</si>
  <si>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</si>
  <si>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</si>
  <si>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</si>
  <si>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</si>
  <si>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</si>
  <si>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</si>
  <si>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</si>
  <si>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</si>
  <si>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</si>
  <si>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</si>
  <si>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</si>
  <si>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</si>
  <si>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</si>
  <si>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</si>
  <si>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</si>
  <si>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</si>
  <si>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</si>
  <si>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</si>
  <si>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</si>
  <si>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</si>
  <si>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</si>
  <si>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</si>
  <si>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</si>
  <si>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</si>
  <si>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</si>
  <si>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</si>
  <si>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</si>
  <si>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</si>
  <si>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</si>
  <si>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</si>
  <si>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</si>
  <si>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</si>
  <si>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</si>
  <si>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</si>
  <si>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</si>
  <si>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</si>
  <si>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</si>
  <si>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</si>
  <si>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</si>
  <si>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</si>
  <si>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</si>
  <si>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</si>
  <si>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</si>
  <si>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</si>
  <si>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</si>
  <si>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</si>
  <si>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</si>
  <si>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</si>
  <si>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</si>
  <si>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</si>
  <si>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</si>
  <si>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</si>
  <si>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</si>
  <si>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</si>
  <si>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</si>
  <si>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</si>
  <si>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</si>
  <si>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</si>
  <si>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</si>
  <si>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</si>
  <si>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</si>
  <si>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</si>
  <si>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</si>
  <si>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</si>
  <si>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</si>
  <si>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</si>
  <si>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</si>
  <si>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</si>
  <si>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</si>
  <si>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</si>
  <si>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</si>
  <si>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</si>
  <si>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</si>
  <si>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</si>
  <si>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</si>
  <si>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</si>
  <si>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</si>
  <si>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</si>
  <si>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</si>
  <si>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</si>
  <si>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</si>
  <si>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</si>
  <si>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</si>
  <si>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</si>
  <si>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</si>
  <si>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</si>
  <si>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</si>
  <si>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</si>
  <si>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</si>
  <si>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</si>
  <si>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</si>
  <si>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</si>
  <si>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</si>
  <si>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</si>
  <si>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</si>
  <si>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</si>
  <si>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</si>
  <si>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</si>
  <si>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</si>
  <si>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</si>
  <si>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</si>
  <si>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</si>
  <si>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</si>
  <si>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</si>
  <si>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</si>
  <si>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</si>
  <si>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</si>
  <si>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</si>
  <si>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</si>
  <si>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</si>
  <si>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</si>
  <si>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</si>
  <si>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</si>
  <si>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</si>
  <si>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</si>
  <si>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</si>
  <si>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</si>
  <si>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</si>
  <si>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</si>
  <si>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</si>
  <si>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</si>
  <si>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</si>
  <si>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</si>
  <si>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</si>
  <si>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</si>
  <si>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</si>
  <si>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</si>
  <si>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</si>
  <si>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</si>
  <si>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</si>
  <si>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</si>
  <si>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</si>
  <si>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</si>
  <si>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</si>
  <si>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</si>
  <si>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</si>
  <si>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</si>
  <si>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</si>
  <si>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</si>
  <si>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</si>
  <si>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</si>
  <si>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</si>
  <si>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</si>
  <si>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</si>
  <si>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</si>
  <si>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</si>
  <si>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</si>
  <si>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</si>
  <si>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</si>
  <si>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</si>
  <si>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</si>
  <si>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</si>
  <si>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</si>
  <si>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</si>
  <si>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</si>
  <si>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</si>
  <si>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</si>
  <si>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</si>
  <si>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</si>
  <si>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</si>
  <si>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</si>
  <si>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</si>
  <si>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</si>
  <si>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</si>
  <si>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</si>
  <si>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</si>
  <si>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</si>
  <si>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</si>
  <si>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</si>
  <si>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</si>
  <si>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</si>
  <si>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</si>
  <si>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</si>
  <si>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</si>
  <si>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</si>
  <si>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</si>
  <si>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</si>
  <si>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</si>
  <si>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</si>
  <si>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</si>
  <si>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</si>
  <si>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</si>
  <si>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</si>
  <si>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</si>
  <si>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</si>
  <si>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</si>
  <si>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</si>
  <si>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</si>
  <si>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</si>
  <si>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</si>
  <si>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</si>
  <si>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</si>
  <si>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</si>
  <si>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</si>
  <si>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</si>
  <si>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</si>
  <si>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</si>
  <si>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</si>
  <si>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</si>
  <si>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</si>
  <si>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</si>
  <si>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</si>
  <si>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</si>
  <si>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</si>
  <si>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</si>
  <si>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</si>
  <si>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</si>
  <si>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</si>
  <si>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</si>
  <si>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</si>
  <si>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</si>
  <si>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</si>
  <si>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</si>
  <si>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</si>
  <si>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</si>
  <si>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</si>
  <si>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</si>
  <si>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</si>
  <si>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</si>
  <si>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</si>
  <si>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</si>
  <si>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</si>
  <si>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</si>
  <si>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</si>
  <si>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</si>
  <si>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</si>
  <si>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</si>
  <si>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</si>
  <si>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</si>
  <si>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</si>
  <si>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</si>
  <si>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</si>
  <si>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</si>
  <si>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</si>
  <si>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</si>
  <si>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</si>
  <si>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</si>
  <si>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</si>
  <si>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</si>
  <si>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</si>
  <si>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</si>
  <si>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</si>
  <si>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</si>
  <si>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</si>
  <si>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</si>
  <si>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</si>
  <si>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</si>
  <si>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</si>
  <si>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</si>
  <si>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</si>
  <si>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</si>
  <si>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</si>
  <si>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</si>
  <si>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</si>
  <si>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</si>
  <si>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</si>
  <si>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</si>
  <si>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</si>
  <si>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</si>
  <si>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</si>
  <si>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</si>
  <si>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</si>
  <si>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</si>
  <si>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</si>
  <si>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</si>
  <si>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</si>
  <si>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</si>
  <si>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</si>
  <si>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</si>
  <si>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</si>
  <si>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</si>
  <si>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</si>
  <si>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</si>
  <si>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</si>
  <si>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</si>
  <si>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</si>
  <si>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</si>
  <si>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</si>
  <si>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</si>
  <si>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</si>
  <si>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</si>
  <si>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</si>
  <si>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</si>
  <si>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</si>
  <si>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</si>
  <si>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</si>
  <si>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</si>
  <si>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</si>
  <si>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</si>
  <si>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</si>
  <si>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</si>
  <si>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</si>
  <si>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</si>
  <si>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</si>
  <si>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</si>
  <si>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</si>
  <si>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</si>
  <si>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</si>
  <si>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</si>
  <si>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</si>
  <si>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</si>
  <si>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</si>
  <si>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</si>
  <si>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</si>
  <si>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</si>
  <si>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</si>
  <si>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</si>
  <si>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</si>
  <si>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</si>
  <si>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</si>
  <si>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</si>
  <si>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</si>
  <si>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</si>
  <si>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</si>
  <si>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</si>
  <si>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</si>
  <si>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</si>
  <si>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</si>
  <si>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</si>
  <si>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</si>
  <si>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</si>
  <si>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</si>
  <si>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</si>
  <si>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</si>
  <si>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</si>
  <si>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</si>
  <si>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</si>
  <si>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</si>
  <si>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</si>
  <si>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</si>
  <si>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</si>
  <si>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</si>
  <si>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</si>
  <si>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</si>
  <si>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</si>
  <si>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</si>
  <si>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</si>
  <si>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</si>
  <si>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</si>
  <si>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</si>
  <si>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</si>
  <si>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</si>
  <si>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</si>
  <si>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</si>
  <si>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</si>
  <si>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</si>
  <si>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</si>
  <si>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</si>
  <si>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</si>
  <si>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</si>
  <si>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</si>
  <si>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</si>
  <si>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</si>
  <si>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</si>
  <si>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</si>
  <si>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</si>
  <si>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</si>
  <si>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</si>
  <si>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</si>
  <si>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</si>
  <si>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</si>
  <si>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</si>
  <si>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</si>
  <si>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</si>
  <si>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</si>
  <si>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</si>
  <si>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</si>
  <si>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</si>
  <si>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</si>
  <si>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</si>
  <si>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</si>
  <si>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</si>
  <si>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</si>
  <si>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</si>
  <si>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</si>
  <si>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</si>
  <si>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</si>
  <si>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</si>
  <si>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</si>
  <si>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</si>
  <si>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</si>
  <si>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</si>
  <si>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</si>
  <si>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</si>
  <si>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</si>
  <si>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</si>
  <si>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</si>
  <si>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</si>
  <si>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</si>
  <si>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</si>
  <si>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</si>
  <si>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</si>
  <si>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</si>
  <si>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</si>
  <si>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</si>
  <si>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</si>
  <si>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</si>
  <si>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</si>
  <si>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</si>
  <si>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七通</t>
    <phoneticPr fontId="20" type="noConversion"/>
  </si>
  <si>
    <t>平层</t>
  </si>
  <si>
    <t>平层</t>
    <phoneticPr fontId="20" type="noConversion"/>
  </si>
  <si>
    <t>普通装修</t>
  </si>
  <si>
    <t>普通装修</t>
    <phoneticPr fontId="20" type="noConversion"/>
  </si>
  <si>
    <t>钢混</t>
    <phoneticPr fontId="20" type="noConversion"/>
  </si>
  <si>
    <t>砖混</t>
    <phoneticPr fontId="20" type="noConversion"/>
  </si>
  <si>
    <t>多层板楼</t>
  </si>
  <si>
    <t>建成年代</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</si>
  <si>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</si>
  <si>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</si>
  <si>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</si>
  <si>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维护</t>
    <phoneticPr fontId="20" type="noConversion"/>
  </si>
  <si>
    <t>较好</t>
    <phoneticPr fontId="20" type="noConversion"/>
  </si>
  <si>
    <t>2层板楼</t>
    <phoneticPr fontId="20" type="noConversion"/>
  </si>
  <si>
    <t>六通</t>
    <phoneticPr fontId="20" type="noConversion"/>
  </si>
  <si>
    <t>单位自管（封闭式管理）</t>
    <phoneticPr fontId="20" type="noConversion"/>
  </si>
  <si>
    <t>物业公司管理</t>
    <phoneticPr fontId="20" type="noConversion"/>
  </si>
  <si>
    <t>高层</t>
  </si>
  <si>
    <t>钢混</t>
  </si>
  <si>
    <t>估价对象周边有颐慧佳园、玲珑花园、玫瑰御园等社区，综合评价居住社区成熟度较好</t>
    <phoneticPr fontId="35" type="noConversion"/>
  </si>
  <si>
    <t>估价对象周边有专98路、33路、快速直达专线83、481路、507路、632路、85路、40路等多条公交线路，距地铁6号线（慈寿寺）约小于1公里，综合评价交通便捷度较好</t>
    <phoneticPr fontId="35" type="noConversion"/>
  </si>
  <si>
    <t>区域自然环境：玲珑公园、京密引水渠；人文环境：宝联体育公园等；综合评价环境状况较好</t>
    <phoneticPr fontId="35" type="noConversion"/>
  </si>
  <si>
    <t>小高层</t>
    <phoneticPr fontId="20" type="noConversion"/>
  </si>
  <si>
    <t>高层</t>
    <phoneticPr fontId="20" type="noConversion"/>
  </si>
  <si>
    <t>好</t>
    <phoneticPr fontId="20" type="noConversion"/>
  </si>
  <si>
    <t>户型</t>
    <phoneticPr fontId="20" type="noConversion"/>
  </si>
  <si>
    <t>平米租金(元/㎡·月)</t>
  </si>
  <si>
    <t>北京市丰台区警备东路六号一区</t>
    <phoneticPr fontId="4" type="noConversion"/>
  </si>
  <si>
    <t>北京市丰台区</t>
    <phoneticPr fontId="4" type="noConversion"/>
  </si>
  <si>
    <t>和义南苑北里社区(三区)</t>
  </si>
  <si>
    <t>平房乡平房村住房</t>
  </si>
  <si>
    <t>六铺炕12,13,14号楼小区</t>
  </si>
  <si>
    <t>新华里2号院</t>
  </si>
  <si>
    <t>赵各庄村住房</t>
  </si>
  <si>
    <t>东高地二期</t>
  </si>
  <si>
    <t>西沙各庄村住房</t>
  </si>
  <si>
    <t>六营门小区</t>
  </si>
  <si>
    <t>万源西里</t>
  </si>
  <si>
    <t>红星北里小区</t>
  </si>
  <si>
    <t>松林庄</t>
  </si>
  <si>
    <t>于辛庄村住房</t>
  </si>
  <si>
    <t>三角地第一区</t>
  </si>
  <si>
    <t>万源北路7号院</t>
  </si>
  <si>
    <t>新华路1号院</t>
  </si>
  <si>
    <t>渔通圣泉小区</t>
  </si>
  <si>
    <t>梅源里小区</t>
  </si>
  <si>
    <t>王村路82号院</t>
  </si>
  <si>
    <t>东高地社区</t>
  </si>
  <si>
    <t>汇福悦榕湾(商住楼)</t>
  </si>
  <si>
    <t>木林镇王泮庄村住房</t>
  </si>
  <si>
    <t>和义西里四区</t>
  </si>
  <si>
    <t>美宅湾</t>
  </si>
  <si>
    <t>南苑大泡子</t>
  </si>
  <si>
    <t>润枫锦尚</t>
  </si>
  <si>
    <t>万源东里</t>
  </si>
  <si>
    <t>万源北路7号</t>
  </si>
  <si>
    <t>圣得西区</t>
  </si>
  <si>
    <t>西外南路21号院</t>
  </si>
  <si>
    <t>空港新苑9号院</t>
  </si>
  <si>
    <t>康乐园</t>
  </si>
  <si>
    <t>康福园</t>
  </si>
  <si>
    <t>窦店镇一街村住房</t>
  </si>
  <si>
    <t>桃源里小区</t>
  </si>
  <si>
    <t>万源南里</t>
  </si>
  <si>
    <t>和义西里(四区)</t>
  </si>
  <si>
    <t>至善街4号</t>
  </si>
  <si>
    <t>砖混</t>
  </si>
  <si>
    <t>毛坯</t>
  </si>
  <si>
    <t>毛坯</t>
    <phoneticPr fontId="20" type="noConversion"/>
  </si>
  <si>
    <t>简单装修</t>
  </si>
  <si>
    <t>简单装修</t>
    <phoneticPr fontId="20" type="noConversion"/>
  </si>
  <si>
    <t>成套住宅</t>
    <phoneticPr fontId="4" type="noConversion"/>
  </si>
  <si>
    <t>成套住宅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</si>
</sst>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57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2" fillId="0" borderId="20" xfId="0" applyNumberFormat="1" applyFont="1" applyFill="1" applyBorder="1" applyAlignment="1" applyProtection="1">
      <alignment horizontal="left" vertical="center" wrapText="1"/>
      <protection locked="0"/>
    </xf>
    <xf numFmtId="0" fontId="257" fillId="0" borderId="0" xfId="16" applyNumberFormat="1"/>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27"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4" fontId="39" fillId="5" borderId="9" xfId="0" applyNumberFormat="1" applyFont="1" applyFill="1" applyBorder="1" applyAlignment="1" applyProtection="1">
      <alignment horizontal="left" vertical="center" wrapText="1"/>
    </xf>
    <xf numFmtId="14" fontId="39" fillId="0" borderId="67" xfId="0" applyNumberFormat="1" applyFont="1" applyFill="1" applyBorder="1" applyAlignment="1" applyProtection="1">
      <alignment horizontal="left" vertical="center" wrapText="1"/>
      <protection locked="0"/>
    </xf>
    <xf numFmtId="0" fontId="257" fillId="0" borderId="0" xfId="16" applyNumberFormat="1"/>
    <xf numFmtId="14" fontId="257" fillId="0" borderId="0" xfId="16" applyNumberFormat="1"/>
    <xf numFmtId="0" fontId="257" fillId="6" borderId="0" xfId="16" applyNumberFormat="1" applyFill="1"/>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7</xdr:col>
      <xdr:colOff>244768</xdr:colOff>
      <xdr:row>70</xdr:row>
      <xdr:rowOff>189733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24800"/>
          <a:ext cx="7819048" cy="61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2024年8月9日</v>
      </c>
    </row>
    <row r="10" spans="1:2">
      <c r="A10" s="1210" t="s">
        <v>1103</v>
      </c>
      <c r="B10" s="1197" t="str">
        <f>'预评函-1'!A13</f>
        <v>本次估价的“房地产价值”是指在正常市场情况下，在价值时点2024年8月9日，估价对象规划用途为，假定未设立法定优先受偿款下的房地产市场价值。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3" sqref="D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45513</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18" t="s">
        <v>1540</v>
      </c>
      <c r="B8" s="1439" t="s">
        <v>1541</v>
      </c>
      <c r="C8" s="3231"/>
      <c r="D8" s="3232"/>
      <c r="E8" s="2603" t="s">
        <v>1542</v>
      </c>
      <c r="F8" s="2604" t="s">
        <v>1543</v>
      </c>
      <c r="G8" s="2605" t="str">
        <f>C6</f>
        <v>XX</v>
      </c>
    </row>
    <row r="9" spans="1:17">
      <c r="A9" s="3218"/>
      <c r="B9" s="259" t="s">
        <v>1544</v>
      </c>
      <c r="C9" s="1431"/>
      <c r="D9" s="1440"/>
      <c r="E9" s="2899" t="s">
        <v>1545</v>
      </c>
      <c r="F9" s="2606"/>
      <c r="G9" s="2607"/>
    </row>
    <row r="10" spans="1:17" ht="13.8" thickBot="1">
      <c r="A10" s="3218"/>
      <c r="B10" s="259" t="s">
        <v>1546</v>
      </c>
      <c r="C10" s="3233"/>
      <c r="D10" s="3234"/>
      <c r="E10" s="2900" t="s">
        <v>1547</v>
      </c>
      <c r="F10" s="2608"/>
      <c r="G10" s="2609"/>
    </row>
    <row r="11" spans="1:17" ht="13.8" thickBot="1">
      <c r="A11" s="3218"/>
      <c r="B11" s="1442" t="s">
        <v>1548</v>
      </c>
      <c r="C11" s="3235"/>
      <c r="D11" s="3236"/>
      <c r="E11" s="811"/>
      <c r="F11" s="811"/>
      <c r="G11" s="830"/>
    </row>
    <row r="12" spans="1:17" ht="24.6" thickBot="1">
      <c r="A12" s="3222" t="s">
        <v>2837</v>
      </c>
      <c r="B12" s="2901" t="s">
        <v>1549</v>
      </c>
      <c r="C12" s="808"/>
      <c r="D12" s="1443" t="s">
        <v>1550</v>
      </c>
      <c r="E12" s="1444" t="s">
        <v>1551</v>
      </c>
      <c r="F12" s="1445" t="s">
        <v>1552</v>
      </c>
      <c r="G12" s="830"/>
    </row>
    <row r="13" spans="1:17" ht="21" customHeight="1" thickBot="1">
      <c r="A13" s="3223"/>
      <c r="B13" s="2902" t="s">
        <v>1553</v>
      </c>
      <c r="C13" s="809"/>
      <c r="D13" s="1446" t="s">
        <v>1554</v>
      </c>
      <c r="E13" s="1447" t="s">
        <v>1551</v>
      </c>
      <c r="F13" s="811"/>
      <c r="G13" s="830"/>
      <c r="I13" s="3241"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41"/>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41"/>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37" t="s">
        <v>1561</v>
      </c>
      <c r="C17" s="3238"/>
      <c r="D17" s="3239" t="s">
        <v>1562</v>
      </c>
      <c r="E17" s="3240"/>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50" t="s">
        <v>2836</v>
      </c>
      <c r="B24" s="3250"/>
      <c r="C24" s="3250"/>
      <c r="D24" s="3250"/>
      <c r="E24" s="3250"/>
      <c r="F24" s="3250"/>
      <c r="G24" s="3250"/>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25" t="s">
        <v>1578</v>
      </c>
      <c r="D28" s="3226"/>
      <c r="E28" s="801"/>
      <c r="F28" s="803" t="s">
        <v>1578</v>
      </c>
      <c r="G28" s="801"/>
      <c r="K28" s="2906"/>
    </row>
    <row r="29" spans="1:66">
      <c r="A29" s="804" t="s">
        <v>1579</v>
      </c>
      <c r="B29" s="798"/>
      <c r="C29" s="3227" t="s">
        <v>1580</v>
      </c>
      <c r="D29" s="3228"/>
      <c r="E29" s="798"/>
      <c r="F29" s="804" t="s">
        <v>1580</v>
      </c>
      <c r="G29" s="798"/>
      <c r="K29" s="2906"/>
    </row>
    <row r="30" spans="1:66">
      <c r="A30" s="804" t="s">
        <v>1581</v>
      </c>
      <c r="B30" s="798"/>
      <c r="C30" s="3227" t="s">
        <v>1581</v>
      </c>
      <c r="D30" s="3228"/>
      <c r="E30" s="798"/>
      <c r="F30" s="804" t="s">
        <v>1582</v>
      </c>
      <c r="G30" s="798"/>
      <c r="K30" s="2906"/>
    </row>
    <row r="31" spans="1:66">
      <c r="A31" s="804" t="s">
        <v>1583</v>
      </c>
      <c r="B31" s="798"/>
      <c r="C31" s="3247" t="s">
        <v>1584</v>
      </c>
      <c r="D31" s="811"/>
      <c r="E31" s="2629" t="str">
        <f>E32&amp;" "&amp;E33&amp;" "&amp;E34&amp;" "&amp;E35</f>
        <v xml:space="preserve">   </v>
      </c>
      <c r="F31" s="804" t="s">
        <v>1585</v>
      </c>
      <c r="G31" s="798"/>
    </row>
    <row r="32" spans="1:66">
      <c r="A32" s="804" t="s">
        <v>1586</v>
      </c>
      <c r="B32" s="798"/>
      <c r="C32" s="3248"/>
      <c r="D32" s="259" t="s">
        <v>1587</v>
      </c>
      <c r="E32" s="798"/>
      <c r="F32" s="804" t="s">
        <v>1588</v>
      </c>
      <c r="G32" s="798"/>
    </row>
    <row r="33" spans="1:7" ht="24.6" thickBot="1">
      <c r="A33" s="805" t="s">
        <v>1589</v>
      </c>
      <c r="B33" s="802"/>
      <c r="C33" s="3248"/>
      <c r="D33" s="259" t="s">
        <v>1590</v>
      </c>
      <c r="E33" s="798"/>
      <c r="F33" s="804" t="s">
        <v>1591</v>
      </c>
      <c r="G33" s="798"/>
    </row>
    <row r="34" spans="1:7">
      <c r="A34" s="803" t="s">
        <v>1592</v>
      </c>
      <c r="B34" s="801"/>
      <c r="C34" s="3248"/>
      <c r="D34" s="259" t="s">
        <v>1593</v>
      </c>
      <c r="E34" s="798"/>
      <c r="F34" s="804" t="s">
        <v>1594</v>
      </c>
      <c r="G34" s="798"/>
    </row>
    <row r="35" spans="1:7" ht="13.8" thickBot="1">
      <c r="A35" s="804" t="s">
        <v>1595</v>
      </c>
      <c r="B35" s="798"/>
      <c r="C35" s="3249"/>
      <c r="D35" s="259" t="s">
        <v>1596</v>
      </c>
      <c r="E35" s="798"/>
      <c r="F35" s="805" t="s">
        <v>1597</v>
      </c>
      <c r="G35" s="2630"/>
    </row>
    <row r="36" spans="1:7">
      <c r="A36" s="804" t="s">
        <v>1549</v>
      </c>
      <c r="B36" s="798"/>
      <c r="C36" s="3227" t="s">
        <v>1598</v>
      </c>
      <c r="D36" s="3228"/>
      <c r="E36" s="798"/>
      <c r="F36" s="2631" t="s">
        <v>1599</v>
      </c>
      <c r="G36" s="801"/>
    </row>
    <row r="37" spans="1:7" ht="24.6" thickBot="1">
      <c r="A37" s="804" t="s">
        <v>1600</v>
      </c>
      <c r="B37" s="798"/>
      <c r="C37" s="3229" t="s">
        <v>1601</v>
      </c>
      <c r="D37" s="3230"/>
      <c r="E37" s="802"/>
      <c r="F37" s="1463" t="s">
        <v>1602</v>
      </c>
      <c r="G37" s="798"/>
    </row>
    <row r="38" spans="1:7" ht="13.8" thickBot="1">
      <c r="A38" s="804" t="s">
        <v>1603</v>
      </c>
      <c r="B38" s="798"/>
      <c r="C38" s="3219" t="s">
        <v>1604</v>
      </c>
      <c r="D38" s="1443" t="s">
        <v>1588</v>
      </c>
      <c r="E38" s="801"/>
      <c r="F38" s="805" t="s">
        <v>1605</v>
      </c>
      <c r="G38" s="802"/>
    </row>
    <row r="39" spans="1:7">
      <c r="A39" s="804" t="s">
        <v>1606</v>
      </c>
      <c r="B39" s="798"/>
      <c r="C39" s="3220"/>
      <c r="D39" s="259" t="s">
        <v>1595</v>
      </c>
      <c r="E39" s="798"/>
      <c r="F39" s="803" t="s">
        <v>1607</v>
      </c>
      <c r="G39" s="801"/>
    </row>
    <row r="40" spans="1:7">
      <c r="A40" s="804" t="s">
        <v>1608</v>
      </c>
      <c r="B40" s="798"/>
      <c r="C40" s="3220" t="s">
        <v>1609</v>
      </c>
      <c r="D40" s="259" t="s">
        <v>1549</v>
      </c>
      <c r="E40" s="798"/>
      <c r="F40" s="804" t="s">
        <v>1610</v>
      </c>
      <c r="G40" s="798"/>
    </row>
    <row r="41" spans="1:7" ht="24.75" customHeight="1" thickBot="1">
      <c r="A41" s="805" t="s">
        <v>1611</v>
      </c>
      <c r="B41" s="802"/>
      <c r="C41" s="3221"/>
      <c r="D41" s="1446" t="s">
        <v>1553</v>
      </c>
      <c r="E41" s="802"/>
      <c r="F41" s="805" t="s">
        <v>1612</v>
      </c>
      <c r="G41" s="802"/>
    </row>
    <row r="42" spans="1:7" ht="24">
      <c r="A42" s="806" t="s">
        <v>1613</v>
      </c>
      <c r="B42" s="2632"/>
      <c r="C42" s="3242" t="s">
        <v>1613</v>
      </c>
      <c r="D42" s="3243"/>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44" t="s">
        <v>1616</v>
      </c>
      <c r="D49" s="3245"/>
      <c r="E49" s="820"/>
      <c r="F49" s="805" t="s">
        <v>1617</v>
      </c>
      <c r="G49" s="802"/>
    </row>
    <row r="50" spans="1:66">
      <c r="A50" s="804" t="s">
        <v>1618</v>
      </c>
      <c r="B50" s="819"/>
      <c r="C50" s="3219" t="s">
        <v>1619</v>
      </c>
      <c r="D50" s="3246"/>
      <c r="E50" s="2634"/>
      <c r="F50" s="837"/>
      <c r="G50" s="838"/>
    </row>
    <row r="51" spans="1:66" ht="13.8" thickBot="1">
      <c r="A51" s="804" t="s">
        <v>1620</v>
      </c>
      <c r="B51" s="819"/>
      <c r="C51" s="3221" t="s">
        <v>1621</v>
      </c>
      <c r="D51" s="3224"/>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46.8">
      <c r="A3" s="3251"/>
      <c r="B3" s="3251"/>
      <c r="C3" s="3251"/>
      <c r="D3" s="3252"/>
      <c r="E3" s="325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48" sqref="C48"/>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45513</v>
      </c>
      <c r="C2" s="1685"/>
      <c r="D2" s="3253"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54"/>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54"/>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255" t="s">
        <v>1710</v>
      </c>
      <c r="B1" s="3256"/>
      <c r="C1" s="3256"/>
      <c r="D1" s="3256"/>
      <c r="E1" s="3256"/>
      <c r="F1" s="3256"/>
      <c r="G1" s="3256"/>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61" t="s">
        <v>2981</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72">
      <c r="A6" s="3110"/>
      <c r="B6" s="3095" t="s">
        <v>2872</v>
      </c>
      <c r="C6" s="3162" t="s">
        <v>2982</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2" t="s">
        <v>2970</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2" t="s">
        <v>2961</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163" t="s">
        <v>2983</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20"/>
      <c r="D10" s="3109"/>
      <c r="E10" s="3109"/>
      <c r="F10" s="2979"/>
      <c r="G10" s="2979"/>
      <c r="H10" s="1498"/>
      <c r="I10" s="3121"/>
      <c r="J10" s="3122"/>
      <c r="K10" s="1498"/>
      <c r="L10" s="3121"/>
      <c r="M10" s="3122"/>
      <c r="N10" s="1498"/>
      <c r="O10" s="3121"/>
      <c r="P10" s="3122"/>
      <c r="Q10" s="1498"/>
      <c r="R10" s="3121"/>
      <c r="S10" s="3106"/>
      <c r="T10" s="3106"/>
      <c r="U10" s="3106"/>
      <c r="V10" s="3106"/>
      <c r="W10" s="3106"/>
      <c r="X10" s="3106"/>
      <c r="Y10" s="3106"/>
      <c r="Z10" s="3106"/>
      <c r="AA10" s="3106"/>
      <c r="AB10" s="3106"/>
      <c r="AC10" s="3106"/>
    </row>
    <row r="11" spans="1:29" s="2677" customFormat="1" ht="13.2">
      <c r="A11" s="3123"/>
      <c r="B11" s="2984"/>
      <c r="C11" s="3109"/>
      <c r="D11" s="3109"/>
      <c r="E11" s="3109"/>
      <c r="F11" s="2984"/>
      <c r="G11" s="3124"/>
      <c r="H11" s="1498"/>
      <c r="I11" s="3121"/>
      <c r="J11" s="3122"/>
      <c r="K11" s="1498"/>
      <c r="L11" s="3121"/>
      <c r="M11" s="3122"/>
      <c r="N11" s="1498"/>
      <c r="O11" s="3121"/>
      <c r="P11" s="3122"/>
      <c r="Q11" s="1498"/>
      <c r="R11" s="3121"/>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5"/>
      <c r="B14" s="3125"/>
      <c r="C14" s="3126" t="s">
        <v>2879</v>
      </c>
      <c r="D14" s="3109"/>
      <c r="E14" s="3127"/>
      <c r="F14" s="3127"/>
      <c r="G14" s="3103" t="s">
        <v>2880</v>
      </c>
      <c r="H14" s="3128"/>
      <c r="I14" s="3129"/>
      <c r="J14" s="3128"/>
      <c r="K14" s="3128"/>
      <c r="L14" s="3129"/>
      <c r="M14" s="3128"/>
      <c r="N14" s="3128"/>
      <c r="O14" s="3129"/>
      <c r="P14" s="3128"/>
      <c r="Q14" s="3128"/>
      <c r="R14" s="3130"/>
      <c r="S14" s="3106"/>
      <c r="T14" s="3106"/>
      <c r="U14" s="3106"/>
      <c r="V14" s="3106"/>
      <c r="W14" s="3106"/>
      <c r="X14" s="3106"/>
      <c r="Y14" s="3106"/>
      <c r="Z14" s="3106"/>
      <c r="AA14" s="3106"/>
      <c r="AB14" s="3106"/>
      <c r="AC14" s="3106"/>
    </row>
    <row r="15" spans="1:29" s="2636" customFormat="1" ht="39.6">
      <c r="A15" s="3131" t="s">
        <v>2881</v>
      </c>
      <c r="B15" s="3132" t="s">
        <v>2861</v>
      </c>
      <c r="C15" s="3133" t="str">
        <f>C3</f>
        <v>估价对象周边有颐慧佳园、玲珑花园、玫瑰御园等社区，综合评价居住社区成熟度较好</v>
      </c>
      <c r="D15" s="3109"/>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6"/>
      <c r="T15" s="3106"/>
      <c r="U15" s="3106"/>
      <c r="V15" s="3106"/>
      <c r="W15" s="3106"/>
      <c r="X15" s="3106"/>
      <c r="Y15" s="3106"/>
      <c r="Z15" s="3106"/>
      <c r="AA15" s="3106"/>
      <c r="AB15" s="3106"/>
      <c r="AC15" s="3106"/>
    </row>
    <row r="16" spans="1:29" s="2636" customFormat="1" ht="39.6">
      <c r="A16" s="3136"/>
      <c r="B16" s="2576" t="s">
        <v>2864</v>
      </c>
      <c r="C16" s="3137" t="str">
        <f>C4</f>
        <v>估价对象位于XX商圈，周边商业氛围成熟，人流量大，商业繁华度好</v>
      </c>
      <c r="D16" s="3109"/>
      <c r="E16" s="3138"/>
      <c r="F16" s="3096"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6"/>
      <c r="T16" s="3106"/>
      <c r="U16" s="3106"/>
      <c r="V16" s="3106"/>
      <c r="W16" s="3106"/>
      <c r="X16" s="3106"/>
      <c r="Y16" s="3106"/>
      <c r="Z16" s="3106"/>
      <c r="AA16" s="3106"/>
      <c r="AB16" s="3106"/>
      <c r="AC16" s="3106"/>
    </row>
    <row r="17" spans="1:29" s="2636" customFormat="1" ht="39.6">
      <c r="A17" s="3136"/>
      <c r="B17" s="2576" t="s">
        <v>2868</v>
      </c>
      <c r="C17" s="3137" t="str">
        <f>C5</f>
        <v>估价对象位于XX商圈，周边办公楼项目较多，入驻率高，办公集聚程度较好</v>
      </c>
      <c r="D17" s="2984"/>
      <c r="E17" s="3138"/>
      <c r="F17" s="3096" t="s">
        <v>2884</v>
      </c>
      <c r="G17" s="3140"/>
      <c r="H17" s="3128"/>
      <c r="I17" s="3129"/>
      <c r="J17" s="3128"/>
      <c r="K17" s="3128"/>
      <c r="L17" s="3129"/>
      <c r="M17" s="3128"/>
      <c r="N17" s="3128"/>
      <c r="O17" s="3129"/>
      <c r="P17" s="3128"/>
      <c r="Q17" s="3128"/>
      <c r="R17" s="3130"/>
      <c r="S17" s="3106"/>
      <c r="T17" s="3106"/>
      <c r="U17" s="3106"/>
      <c r="V17" s="3106"/>
      <c r="W17" s="3106"/>
      <c r="X17" s="3106"/>
      <c r="Y17" s="3106"/>
      <c r="Z17" s="3106"/>
      <c r="AA17" s="3106"/>
      <c r="AB17" s="3106"/>
      <c r="AC17" s="3106"/>
    </row>
    <row r="18" spans="1:29" s="2636" customFormat="1" ht="79.2">
      <c r="A18" s="3136"/>
      <c r="B18" s="3096" t="s">
        <v>2872</v>
      </c>
      <c r="C18" s="3139" t="str">
        <f>C6</f>
        <v>估价对象周边有专98路、33路、快速直达专线83、481路、507路、632路、85路、40路等多条公交线路，距地铁6号线（慈寿寺）约小于1公里，综合评价交通便捷度较好</v>
      </c>
      <c r="D18" s="2984"/>
      <c r="E18" s="3138"/>
      <c r="F18" s="3096" t="s">
        <v>2875</v>
      </c>
      <c r="G18" s="3139" t="str">
        <f>G7</f>
        <v>该园区内是否有污染型企业，绿化情况，卫生条件，整体环境状况判断</v>
      </c>
      <c r="H18" s="3128"/>
      <c r="I18" s="3129"/>
      <c r="J18" s="3128"/>
      <c r="K18" s="3128"/>
      <c r="L18" s="3129"/>
      <c r="M18" s="3128"/>
      <c r="N18" s="3128"/>
      <c r="O18" s="3129"/>
      <c r="P18" s="3128"/>
      <c r="Q18" s="3128"/>
      <c r="R18" s="3130"/>
      <c r="S18" s="3106"/>
      <c r="T18" s="3106"/>
      <c r="U18" s="3106"/>
      <c r="V18" s="3106"/>
      <c r="W18" s="3106"/>
      <c r="X18" s="3106"/>
      <c r="Y18" s="3106"/>
      <c r="Z18" s="3106"/>
      <c r="AA18" s="3106"/>
      <c r="AB18" s="3106"/>
      <c r="AC18" s="3106"/>
    </row>
    <row r="19" spans="1:29" s="2636" customFormat="1" ht="26.4">
      <c r="A19" s="3136"/>
      <c r="B19" s="3096" t="s">
        <v>2885</v>
      </c>
      <c r="C19" s="3140"/>
      <c r="D19" s="3109"/>
      <c r="E19" s="3138"/>
      <c r="F19" s="3095" t="s">
        <v>2870</v>
      </c>
      <c r="G19" s="3139" t="str">
        <f>G5</f>
        <v>估价对象所在区域公共配套设施齐备情况</v>
      </c>
      <c r="H19" s="3128"/>
      <c r="I19" s="3129"/>
      <c r="J19" s="3128"/>
      <c r="K19" s="3128"/>
      <c r="L19" s="3129"/>
      <c r="M19" s="3128"/>
      <c r="N19" s="3128"/>
      <c r="O19" s="3129"/>
      <c r="P19" s="3128"/>
      <c r="Q19" s="3128"/>
      <c r="R19" s="3130"/>
      <c r="S19" s="3106"/>
      <c r="T19" s="3106"/>
      <c r="U19" s="3106"/>
      <c r="V19" s="3106"/>
      <c r="W19" s="3106"/>
      <c r="X19" s="3106"/>
      <c r="Y19" s="3106"/>
      <c r="Z19" s="3106"/>
      <c r="AA19" s="3106"/>
      <c r="AB19" s="3106"/>
      <c r="AC19" s="3106"/>
    </row>
    <row r="20" spans="1:29" s="2636" customFormat="1" ht="39.6">
      <c r="A20" s="3136"/>
      <c r="B20" s="3096" t="s">
        <v>2886</v>
      </c>
      <c r="C20" s="3137" t="str">
        <f>C9</f>
        <v>区域自然环境：玲珑公园、京密引水渠；人文环境：宝联体育公园等；综合评价环境状况较好</v>
      </c>
      <c r="D20" s="2984"/>
      <c r="E20" s="3138"/>
      <c r="F20" s="3095" t="s">
        <v>2873</v>
      </c>
      <c r="G20" s="3139" t="str">
        <f>G6</f>
        <v>估价对象所在区域基础设施水平</v>
      </c>
      <c r="H20" s="3128"/>
      <c r="I20" s="3129"/>
      <c r="J20" s="3128"/>
      <c r="K20" s="3128"/>
      <c r="L20" s="3129"/>
      <c r="M20" s="3128"/>
      <c r="N20" s="3128"/>
      <c r="O20" s="3129"/>
      <c r="P20" s="3128"/>
      <c r="Q20" s="3128"/>
      <c r="R20" s="3130"/>
      <c r="S20" s="3106"/>
      <c r="T20" s="3106"/>
      <c r="U20" s="3106"/>
      <c r="V20" s="3106"/>
      <c r="W20" s="3106"/>
      <c r="X20" s="3106"/>
      <c r="Y20" s="3106"/>
      <c r="Z20" s="3106"/>
      <c r="AA20" s="3106"/>
      <c r="AB20" s="3106"/>
      <c r="AC20" s="3106"/>
    </row>
    <row r="21" spans="1:29" s="2636" customFormat="1" ht="26.4">
      <c r="A21" s="3136"/>
      <c r="B21" s="3095" t="s">
        <v>2870</v>
      </c>
      <c r="C21" s="3139" t="str">
        <f>C7</f>
        <v>估价对象所在区域公共配套设施较齐备</v>
      </c>
      <c r="D21" s="3109"/>
      <c r="E21" s="3138"/>
      <c r="F21" s="3096" t="s">
        <v>2887</v>
      </c>
      <c r="G21" s="3141"/>
      <c r="H21" s="3128"/>
      <c r="I21" s="3129"/>
      <c r="J21" s="3128"/>
      <c r="K21" s="3128"/>
      <c r="L21" s="3129"/>
      <c r="M21" s="3128"/>
      <c r="N21" s="3128"/>
      <c r="O21" s="3129"/>
      <c r="P21" s="3128"/>
      <c r="Q21" s="3128"/>
      <c r="R21" s="3130"/>
      <c r="S21" s="3106"/>
      <c r="T21" s="3106"/>
      <c r="U21" s="3106"/>
      <c r="V21" s="3106"/>
      <c r="W21" s="3106"/>
      <c r="X21" s="3106"/>
      <c r="Y21" s="3106"/>
      <c r="Z21" s="3106"/>
      <c r="AA21" s="3106"/>
      <c r="AB21" s="3106"/>
      <c r="AC21" s="3106"/>
    </row>
    <row r="22" spans="1:29" s="2636" customFormat="1" ht="13.2">
      <c r="A22" s="3136"/>
      <c r="B22" s="3095" t="s">
        <v>2873</v>
      </c>
      <c r="C22" s="3139" t="str">
        <f>C8</f>
        <v>七通</v>
      </c>
      <c r="D22" s="3109"/>
      <c r="E22" s="3138"/>
      <c r="F22" s="3096" t="s">
        <v>2878</v>
      </c>
      <c r="G22" s="3142"/>
      <c r="H22" s="3128"/>
      <c r="I22" s="3129"/>
      <c r="J22" s="3128"/>
      <c r="K22" s="3128"/>
      <c r="L22" s="3129"/>
      <c r="M22" s="3128"/>
      <c r="N22" s="3128"/>
      <c r="O22" s="3129"/>
      <c r="P22" s="3128"/>
      <c r="Q22" s="3128"/>
      <c r="R22" s="3130"/>
      <c r="S22" s="3106"/>
      <c r="T22" s="3106"/>
      <c r="U22" s="3106"/>
      <c r="V22" s="3106"/>
      <c r="W22" s="3106"/>
      <c r="X22" s="3106"/>
      <c r="Y22" s="3106"/>
      <c r="Z22" s="3106"/>
      <c r="AA22" s="3106"/>
      <c r="AB22" s="3106"/>
      <c r="AC22" s="3106"/>
    </row>
    <row r="23" spans="1:29" s="3106" customFormat="1" thickBot="1">
      <c r="A23" s="3136"/>
      <c r="B23" s="3096" t="s">
        <v>2887</v>
      </c>
      <c r="C23" s="3141"/>
      <c r="D23" s="3128"/>
      <c r="E23" s="3143"/>
      <c r="F23" s="3098" t="s">
        <v>2888</v>
      </c>
      <c r="G23" s="3144"/>
      <c r="H23" s="3128"/>
      <c r="I23" s="3129"/>
      <c r="J23" s="3128"/>
      <c r="K23" s="3128"/>
      <c r="L23" s="3129"/>
      <c r="M23" s="3128"/>
      <c r="N23" s="3128"/>
      <c r="O23" s="3129"/>
      <c r="P23" s="3128"/>
      <c r="Q23" s="3128"/>
      <c r="R23" s="3130"/>
    </row>
    <row r="24" spans="1:29" s="3106" customFormat="1" thickBot="1">
      <c r="A24" s="3145"/>
      <c r="B24" s="3098" t="s">
        <v>2889</v>
      </c>
      <c r="C24" s="3146">
        <f>C10</f>
        <v>0</v>
      </c>
      <c r="D24" s="3128"/>
      <c r="E24" s="3147"/>
      <c r="F24" s="3147"/>
      <c r="G24" s="3148"/>
      <c r="H24" s="3128"/>
      <c r="I24" s="3129"/>
      <c r="J24" s="3128"/>
      <c r="K24" s="3128"/>
      <c r="L24" s="3129"/>
      <c r="M24" s="3128"/>
      <c r="N24" s="3128"/>
      <c r="O24" s="3129"/>
      <c r="P24" s="3128"/>
      <c r="Q24" s="3128"/>
      <c r="R24" s="3130"/>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45513</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'比较法-住宅'!C49</f>
        <v>54.3</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2955</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3" zoomScale="80" zoomScaleNormal="100" zoomScaleSheetLayoutView="80" zoomScalePageLayoutView="80" workbookViewId="0">
      <selection activeCell="H38" sqref="H38:H39"/>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28" t="str">
        <f>项目基本情况!B1</f>
        <v>北京市房地产市场价值预评估</v>
      </c>
      <c r="B2" s="3328"/>
      <c r="C2" s="3328"/>
      <c r="D2" s="3328"/>
      <c r="E2" s="3328"/>
      <c r="F2" s="3328"/>
      <c r="G2" s="3328"/>
      <c r="H2" s="3328"/>
      <c r="I2" s="3328"/>
      <c r="J2" s="2846"/>
    </row>
    <row r="3" spans="1:15" ht="13.2">
      <c r="A3" s="3333" t="s">
        <v>1718</v>
      </c>
      <c r="B3" s="3334"/>
      <c r="C3" s="3334"/>
      <c r="D3" s="3334"/>
      <c r="E3" s="3334"/>
      <c r="F3" s="3334"/>
      <c r="G3" s="3334"/>
      <c r="H3" s="3334"/>
      <c r="I3" s="3334"/>
      <c r="J3" s="2847"/>
    </row>
    <row r="4" spans="1:15" ht="14.4">
      <c r="A4" s="2715" t="s">
        <v>1719</v>
      </c>
      <c r="B4" s="2715" t="s">
        <v>1720</v>
      </c>
      <c r="C4" s="2716" t="s">
        <v>2956</v>
      </c>
      <c r="D4" s="2716" t="s">
        <v>2956</v>
      </c>
      <c r="E4" s="3330" t="s">
        <v>1721</v>
      </c>
      <c r="F4" s="3318"/>
      <c r="G4" s="3318"/>
      <c r="H4" s="3318"/>
      <c r="I4" s="3319"/>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29" t="s">
        <v>1722</v>
      </c>
      <c r="B5" s="3329">
        <v>25</v>
      </c>
      <c r="C5" s="3335"/>
      <c r="D5" s="3332"/>
      <c r="E5" s="12" t="s">
        <v>1723</v>
      </c>
      <c r="F5" s="2088"/>
      <c r="G5" s="2088"/>
      <c r="H5" s="2088"/>
      <c r="I5" s="2083"/>
      <c r="J5" s="2848"/>
    </row>
    <row r="6" spans="1:15" ht="13.2">
      <c r="A6" s="3329"/>
      <c r="B6" s="3329"/>
      <c r="C6" s="3336"/>
      <c r="D6" s="3332"/>
      <c r="E6" s="12" t="s">
        <v>1724</v>
      </c>
      <c r="F6" s="2088"/>
      <c r="G6" s="2088"/>
      <c r="H6" s="2088"/>
      <c r="I6" s="2083"/>
      <c r="J6" s="2848"/>
    </row>
    <row r="7" spans="1:15" ht="13.2">
      <c r="A7" s="3329"/>
      <c r="B7" s="3329"/>
      <c r="C7" s="3337"/>
      <c r="D7" s="3332"/>
      <c r="E7" s="12" t="s">
        <v>1725</v>
      </c>
      <c r="F7" s="2088"/>
      <c r="G7" s="2088"/>
      <c r="H7" s="2088"/>
      <c r="I7" s="2083"/>
      <c r="J7" s="2848"/>
    </row>
    <row r="8" spans="1:15" ht="13.2">
      <c r="A8" s="3329" t="s">
        <v>1726</v>
      </c>
      <c r="B8" s="3329">
        <v>15</v>
      </c>
      <c r="C8" s="3335"/>
      <c r="D8" s="3332"/>
      <c r="E8" s="12" t="s">
        <v>1727</v>
      </c>
      <c r="F8" s="2088"/>
      <c r="G8" s="2088"/>
      <c r="H8" s="2088"/>
      <c r="I8" s="2083"/>
      <c r="J8" s="2848"/>
    </row>
    <row r="9" spans="1:15" ht="13.2">
      <c r="A9" s="3329"/>
      <c r="B9" s="3329"/>
      <c r="C9" s="3337"/>
      <c r="D9" s="3332"/>
      <c r="E9" s="12" t="s">
        <v>1728</v>
      </c>
      <c r="F9" s="2088"/>
      <c r="G9" s="2088"/>
      <c r="H9" s="2088"/>
      <c r="I9" s="2083"/>
      <c r="J9" s="2848"/>
    </row>
    <row r="10" spans="1:15" ht="13.2">
      <c r="A10" s="3329" t="s">
        <v>1729</v>
      </c>
      <c r="B10" s="3329">
        <v>15</v>
      </c>
      <c r="C10" s="3335"/>
      <c r="D10" s="3332"/>
      <c r="E10" s="12" t="s">
        <v>1730</v>
      </c>
      <c r="F10" s="2088"/>
      <c r="G10" s="2088"/>
      <c r="H10" s="2088"/>
      <c r="I10" s="2083"/>
      <c r="J10" s="2848"/>
    </row>
    <row r="11" spans="1:15" ht="13.2">
      <c r="A11" s="3329"/>
      <c r="B11" s="3329"/>
      <c r="C11" s="3337"/>
      <c r="D11" s="3332"/>
      <c r="E11" s="12" t="s">
        <v>1731</v>
      </c>
      <c r="F11" s="2088"/>
      <c r="G11" s="2088"/>
      <c r="H11" s="2088"/>
      <c r="I11" s="2083"/>
      <c r="J11" s="2848"/>
    </row>
    <row r="12" spans="1:15" ht="13.2">
      <c r="A12" s="3329" t="s">
        <v>1732</v>
      </c>
      <c r="B12" s="3329">
        <v>15</v>
      </c>
      <c r="C12" s="3335"/>
      <c r="D12" s="3332"/>
      <c r="E12" s="12" t="s">
        <v>1733</v>
      </c>
      <c r="F12" s="2088"/>
      <c r="G12" s="2088"/>
      <c r="H12" s="2088"/>
      <c r="I12" s="2083"/>
      <c r="J12" s="2848"/>
    </row>
    <row r="13" spans="1:15" ht="13.2">
      <c r="A13" s="3329"/>
      <c r="B13" s="3329"/>
      <c r="C13" s="3337"/>
      <c r="D13" s="3332"/>
      <c r="E13" s="12" t="s">
        <v>1734</v>
      </c>
      <c r="F13" s="2088"/>
      <c r="G13" s="2088"/>
      <c r="H13" s="2088"/>
      <c r="I13" s="2083"/>
      <c r="J13" s="2848"/>
    </row>
    <row r="14" spans="1:15" ht="13.2">
      <c r="A14" s="3329" t="s">
        <v>1735</v>
      </c>
      <c r="B14" s="3329">
        <v>30</v>
      </c>
      <c r="C14" s="3335">
        <v>1</v>
      </c>
      <c r="D14" s="3332">
        <v>1</v>
      </c>
      <c r="E14" s="12" t="s">
        <v>1736</v>
      </c>
      <c r="F14" s="2088"/>
      <c r="G14" s="2088"/>
      <c r="H14" s="2088"/>
      <c r="I14" s="2083"/>
      <c r="J14" s="2848"/>
    </row>
    <row r="15" spans="1:15" ht="13.2">
      <c r="A15" s="3329"/>
      <c r="B15" s="3329"/>
      <c r="C15" s="3336"/>
      <c r="D15" s="3332"/>
      <c r="E15" s="12" t="s">
        <v>1737</v>
      </c>
      <c r="F15" s="2088"/>
      <c r="G15" s="2088"/>
      <c r="H15" s="2088"/>
      <c r="I15" s="2083"/>
      <c r="J15" s="2848"/>
    </row>
    <row r="16" spans="1:15" ht="13.2">
      <c r="A16" s="3329"/>
      <c r="B16" s="3329"/>
      <c r="C16" s="3337"/>
      <c r="D16" s="3332"/>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49" t="s">
        <v>2826</v>
      </c>
      <c r="F18" s="3350"/>
      <c r="G18" s="3350"/>
      <c r="H18" s="3350"/>
      <c r="I18" s="3350"/>
      <c r="J18" s="2849"/>
    </row>
    <row r="19" spans="1:36" ht="14.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4">
      <c r="A20" s="2728"/>
      <c r="B20" s="1693" t="s">
        <v>1744</v>
      </c>
      <c r="C20" s="1918">
        <f ca="1">SUMIF(INDIRECT("'"&amp;C4&amp;"'"&amp;"!A:A"),结果表!B20,INDIRECT("'"&amp;C4&amp;"'"&amp;"!B:B"))</f>
        <v>54</v>
      </c>
      <c r="D20" s="1921">
        <f ca="1">SUMIF(INDIRECT("'"&amp;D4&amp;"'"&amp;"!A:A"),结果表!B20,INDIRECT("'"&amp;D4&amp;"'"&amp;"!B:B"))</f>
        <v>54</v>
      </c>
      <c r="E20" s="2728"/>
      <c r="F20" s="1693" t="s">
        <v>1744</v>
      </c>
      <c r="G20" s="2092">
        <f ca="1">ROUND(C20*$C$18+D20*$D$18,0)</f>
        <v>54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38" t="s">
        <v>1747</v>
      </c>
      <c r="B24" s="2723" t="s">
        <v>1742</v>
      </c>
      <c r="C24" s="2726">
        <f>D30</f>
        <v>0</v>
      </c>
      <c r="D24" s="2678"/>
      <c r="E24" s="947"/>
      <c r="F24" s="947"/>
      <c r="G24" s="947"/>
      <c r="H24" s="947"/>
      <c r="I24" s="947"/>
      <c r="J24" s="2849"/>
    </row>
    <row r="25" spans="1:36" ht="21.75" customHeight="1">
      <c r="A25" s="3339"/>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f ca="1">IF(B32="总价",G19-C24,G20-C25)</f>
        <v>54</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#VALUE!</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38" t="s">
        <v>1760</v>
      </c>
      <c r="B36" s="1468" t="s">
        <v>1761</v>
      </c>
      <c r="C36" s="2759">
        <v>0</v>
      </c>
      <c r="D36" s="2760"/>
      <c r="E36" s="1680"/>
      <c r="F36" s="1680"/>
      <c r="G36" s="947"/>
      <c r="H36" s="947"/>
      <c r="I36" s="947"/>
      <c r="J36" s="2849"/>
    </row>
    <row r="37" spans="1:17" ht="15" thickBot="1">
      <c r="A37" s="3343"/>
      <c r="B37" s="2093" t="s">
        <v>1762</v>
      </c>
      <c r="C37" s="2761">
        <v>0</v>
      </c>
      <c r="D37" s="1311"/>
      <c r="E37" s="1311"/>
      <c r="F37" s="1680"/>
      <c r="G37" s="1311"/>
      <c r="H37" s="1311"/>
      <c r="I37" s="1311"/>
      <c r="J37" s="2853"/>
    </row>
    <row r="38" spans="1:17" ht="15" thickBot="1">
      <c r="A38" s="3344"/>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263" t="s">
        <v>1771</v>
      </c>
      <c r="B45" s="3264"/>
      <c r="C45" s="3274"/>
      <c r="D45" s="246" t="e">
        <f ca="1">ROUND(I102*F45,0)</f>
        <v>#REF!</v>
      </c>
      <c r="E45" s="1542" t="s">
        <v>1772</v>
      </c>
      <c r="F45" s="2563">
        <v>1</v>
      </c>
      <c r="G45" s="2564" t="s">
        <v>1773</v>
      </c>
      <c r="H45" s="947"/>
      <c r="I45" s="947"/>
      <c r="J45" s="2849"/>
      <c r="K45" s="3269" t="s">
        <v>2755</v>
      </c>
      <c r="L45" s="3269"/>
      <c r="M45" s="3269"/>
      <c r="N45" s="3269"/>
      <c r="O45" s="3269"/>
      <c r="P45" s="3269"/>
      <c r="Q45" s="1308"/>
    </row>
    <row r="46" spans="1:17" ht="14.25" customHeight="1">
      <c r="A46" s="3340" t="s">
        <v>1775</v>
      </c>
      <c r="B46" s="3341"/>
      <c r="C46" s="3341"/>
      <c r="D46" s="3341"/>
      <c r="E46" s="3341"/>
      <c r="F46" s="3341"/>
      <c r="G46" s="3342"/>
      <c r="H46" s="2981"/>
      <c r="I46" s="947"/>
      <c r="J46" s="2849"/>
      <c r="K46" s="2538">
        <v>1</v>
      </c>
      <c r="L46" s="3270" t="s">
        <v>2756</v>
      </c>
      <c r="M46" s="3270"/>
      <c r="N46" s="3271" t="str">
        <f>项目基本情况!B1</f>
        <v>北京市房地产市场价值预评估</v>
      </c>
      <c r="O46" s="3271"/>
      <c r="P46" s="3271"/>
      <c r="Q46" s="1308"/>
    </row>
    <row r="47" spans="1:17" ht="12" customHeight="1">
      <c r="A47" s="38" t="s">
        <v>1777</v>
      </c>
      <c r="B47" s="39"/>
      <c r="C47" s="40"/>
      <c r="D47" s="1099" t="s">
        <v>1778</v>
      </c>
      <c r="E47" s="235" t="s">
        <v>1779</v>
      </c>
      <c r="F47" s="41" t="s">
        <v>1780</v>
      </c>
      <c r="G47" s="2566" t="s">
        <v>1781</v>
      </c>
      <c r="H47" s="2981"/>
      <c r="I47" s="947"/>
      <c r="J47" s="2849"/>
      <c r="K47" s="2538">
        <v>2</v>
      </c>
      <c r="L47" s="3270" t="s">
        <v>2757</v>
      </c>
      <c r="M47" s="3270"/>
      <c r="N47" s="3272">
        <f>'数据-取费表'!B2</f>
        <v>45513</v>
      </c>
      <c r="O47" s="3272"/>
      <c r="P47" s="3272"/>
      <c r="Q47" s="1308"/>
    </row>
    <row r="48" spans="1:17" ht="26.4">
      <c r="A48" s="3345" t="s">
        <v>1783</v>
      </c>
      <c r="B48" s="3279"/>
      <c r="C48" s="3279"/>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270" t="s">
        <v>2758</v>
      </c>
      <c r="M48" s="3270"/>
      <c r="N48" s="3271" t="e">
        <f ca="1">I102</f>
        <v>#REF!</v>
      </c>
      <c r="O48" s="3271"/>
      <c r="P48" s="3271"/>
      <c r="Q48" s="1308"/>
    </row>
    <row r="49" spans="1:17" ht="25.5" customHeight="1">
      <c r="A49" s="2090" t="s">
        <v>1787</v>
      </c>
      <c r="B49" s="3318" t="s">
        <v>1788</v>
      </c>
      <c r="C49" s="3318"/>
      <c r="D49" s="2570">
        <v>0</v>
      </c>
      <c r="E49" s="261" t="s">
        <v>1789</v>
      </c>
      <c r="F49" s="2571" t="s">
        <v>48</v>
      </c>
      <c r="G49" s="3260"/>
      <c r="H49" s="2572" t="s">
        <v>2832</v>
      </c>
      <c r="I49" s="2573"/>
      <c r="J49" s="2857"/>
      <c r="K49" s="2538">
        <v>4</v>
      </c>
      <c r="L49" s="3270" t="str">
        <f>IF(项目基本情况!F5="房地产抵押价值","房地产抵押价值","抵押担保权已注销时的房地产抵押价值")</f>
        <v>抵押担保权已注销时的房地产抵押价值</v>
      </c>
      <c r="M49" s="3270"/>
      <c r="N49" s="3271" t="str">
        <f>IF(项目基本情况!F5="房地产抵押价值",I110,I112)</f>
        <v>——</v>
      </c>
      <c r="O49" s="3271"/>
      <c r="P49" s="3271"/>
      <c r="Q49" s="1308"/>
    </row>
    <row r="50" spans="1:17" ht="25.5" customHeight="1">
      <c r="A50" s="2080"/>
      <c r="B50" s="3318" t="s">
        <v>1790</v>
      </c>
      <c r="C50" s="3318"/>
      <c r="D50" s="2574"/>
      <c r="E50" s="269"/>
      <c r="F50" s="2571"/>
      <c r="G50" s="3261"/>
      <c r="H50" s="2575" t="s">
        <v>2751</v>
      </c>
      <c r="I50" s="2573"/>
      <c r="J50" s="2857"/>
      <c r="K50" s="3270" t="s">
        <v>2759</v>
      </c>
      <c r="L50" s="3270"/>
      <c r="M50" s="3270"/>
      <c r="N50" s="3270"/>
      <c r="O50" s="3270"/>
      <c r="P50" s="3270"/>
      <c r="Q50" s="1308"/>
    </row>
    <row r="51" spans="1:17" ht="20.399999999999999" customHeight="1">
      <c r="A51" s="2576"/>
      <c r="B51" s="3318" t="s">
        <v>1792</v>
      </c>
      <c r="C51" s="3318"/>
      <c r="D51" s="1099"/>
      <c r="E51" s="264"/>
      <c r="F51" s="2571"/>
      <c r="G51" s="3262"/>
      <c r="H51" s="2575" t="s">
        <v>2752</v>
      </c>
      <c r="I51" s="2573"/>
      <c r="J51" s="2857"/>
      <c r="K51" s="2539" t="s">
        <v>2760</v>
      </c>
      <c r="L51" s="3270" t="s">
        <v>2761</v>
      </c>
      <c r="M51" s="3270"/>
      <c r="N51" s="2539" t="s">
        <v>2762</v>
      </c>
      <c r="O51" s="2539" t="s">
        <v>2763</v>
      </c>
      <c r="P51" s="2539" t="s">
        <v>2764</v>
      </c>
      <c r="Q51" s="1308"/>
    </row>
    <row r="52" spans="1:17" ht="24" customHeight="1">
      <c r="A52" s="2081" t="s">
        <v>1798</v>
      </c>
      <c r="B52" s="3318" t="s">
        <v>1799</v>
      </c>
      <c r="C52" s="3318"/>
      <c r="D52" s="1099" t="e">
        <f ca="1">ROUND(D45*'数据-取费表'!E29/(1+'数据-取费表'!F30),0)</f>
        <v>#REF!</v>
      </c>
      <c r="E52" s="2091" t="s">
        <v>1800</v>
      </c>
      <c r="F52" s="2577">
        <f>'数据-取费表'!E29</f>
        <v>0</v>
      </c>
      <c r="G52" s="2578"/>
      <c r="H52" s="947"/>
      <c r="I52" s="2982"/>
      <c r="J52" s="2857"/>
      <c r="K52" s="2538">
        <v>1</v>
      </c>
      <c r="L52" s="3259" t="s">
        <v>2765</v>
      </c>
      <c r="M52" s="3259"/>
      <c r="N52" s="2540" t="e">
        <f ca="1">D48</f>
        <v>#REF!</v>
      </c>
      <c r="O52" s="2538" t="str">
        <f>E48</f>
        <v>销售额×税（费）率</v>
      </c>
      <c r="P52" s="2541">
        <f>F48</f>
        <v>0</v>
      </c>
      <c r="Q52" s="1308"/>
    </row>
    <row r="53" spans="1:17" ht="12" customHeight="1">
      <c r="A53" s="2081" t="s">
        <v>1802</v>
      </c>
      <c r="B53" s="3330" t="s">
        <v>2844</v>
      </c>
      <c r="C53" s="3319"/>
      <c r="D53" s="1099" t="e">
        <f ca="1">ROUND(D45*'数据-取费表'!E29/(1+'数据-取费表'!F30),0)</f>
        <v>#REF!</v>
      </c>
      <c r="E53" s="2091" t="s">
        <v>1800</v>
      </c>
      <c r="F53" s="2577">
        <f>'数据-取费表'!E29</f>
        <v>0</v>
      </c>
      <c r="G53" s="2578"/>
      <c r="H53" s="947"/>
      <c r="I53" s="2982"/>
      <c r="J53" s="2857"/>
      <c r="K53" s="2538">
        <v>2</v>
      </c>
      <c r="L53" s="3259" t="s">
        <v>2766</v>
      </c>
      <c r="M53" s="3259"/>
      <c r="N53" s="2540">
        <f t="shared" ref="N53:P54" si="1">D55</f>
        <v>0</v>
      </c>
      <c r="O53" s="2538" t="str">
        <f t="shared" si="1"/>
        <v>销售额×税（费）率</v>
      </c>
      <c r="P53" s="2541" t="str">
        <f t="shared" si="1"/>
        <v>免征</v>
      </c>
      <c r="Q53" s="1308"/>
    </row>
    <row r="54" spans="1:17" ht="12" customHeight="1">
      <c r="A54" s="2081" t="s">
        <v>1804</v>
      </c>
      <c r="B54" s="3330" t="s">
        <v>2845</v>
      </c>
      <c r="C54" s="3319"/>
      <c r="D54" s="1099" t="e">
        <f ca="1">C68</f>
        <v>#REF!</v>
      </c>
      <c r="E54" s="264" t="s">
        <v>1805</v>
      </c>
      <c r="F54" s="2577">
        <f>'数据-取费表'!E29</f>
        <v>0</v>
      </c>
      <c r="G54" s="2578"/>
      <c r="H54" s="2983"/>
      <c r="I54" s="2982"/>
      <c r="J54" s="2857"/>
      <c r="K54" s="2538">
        <v>3</v>
      </c>
      <c r="L54" s="3259" t="s">
        <v>2767</v>
      </c>
      <c r="M54" s="3259"/>
      <c r="N54" s="2540">
        <f t="shared" si="1"/>
        <v>0</v>
      </c>
      <c r="O54" s="2538" t="str">
        <f t="shared" si="1"/>
        <v>增值额×税（费）率</v>
      </c>
      <c r="P54" s="2542" t="str">
        <f t="shared" si="1"/>
        <v>免征</v>
      </c>
      <c r="Q54" s="1308"/>
    </row>
    <row r="55" spans="1:17" ht="24" customHeight="1">
      <c r="A55" s="3283" t="s">
        <v>1807</v>
      </c>
      <c r="B55" s="3279"/>
      <c r="C55" s="3279"/>
      <c r="D55" s="12">
        <f>IF(H55="个人住宅",0,ROUND(D45*I55,0))</f>
        <v>0</v>
      </c>
      <c r="E55" s="2091" t="s">
        <v>1808</v>
      </c>
      <c r="F55" s="2577" t="str">
        <f>IF(H55="正常",I55,"免征")</f>
        <v>免征</v>
      </c>
      <c r="G55" s="2578"/>
      <c r="H55" s="2569" t="s">
        <v>2748</v>
      </c>
      <c r="I55" s="74">
        <f>'数据-取费表'!E37</f>
        <v>0</v>
      </c>
      <c r="J55" s="2857"/>
      <c r="K55" s="2538" t="str">
        <f>IF(H59="非个人房产","",4)</f>
        <v/>
      </c>
      <c r="L55" s="3259" t="str">
        <f>IF(H59="非个人房产","——","个人所得税")</f>
        <v>——</v>
      </c>
      <c r="M55" s="3259"/>
      <c r="N55" s="2543" t="str">
        <f>D59</f>
        <v>——</v>
      </c>
      <c r="O55" s="2544" t="str">
        <f>E59</f>
        <v>——</v>
      </c>
      <c r="P55" s="2545" t="str">
        <f>F59</f>
        <v>——</v>
      </c>
      <c r="Q55" s="1308"/>
    </row>
    <row r="56" spans="1:17" ht="25.2">
      <c r="A56" s="3283" t="s">
        <v>1810</v>
      </c>
      <c r="B56" s="3279"/>
      <c r="C56" s="3279"/>
      <c r="D56" s="12">
        <f>IF(H56="个人住宅",D57,D58)</f>
        <v>0</v>
      </c>
      <c r="E56" s="2091" t="s">
        <v>1811</v>
      </c>
      <c r="F56" s="2577" t="str">
        <f>IF(H56="正常",F58,"免征")</f>
        <v>免征</v>
      </c>
      <c r="G56" s="2579" t="s">
        <v>1812</v>
      </c>
      <c r="H56" s="2580" t="s">
        <v>2748</v>
      </c>
      <c r="I56" s="2984"/>
      <c r="J56" s="2857"/>
      <c r="K56" s="2538" t="str">
        <f>IF(项目基本情况!I6="上海银行",IF(K55="",4,K55+1),"")</f>
        <v/>
      </c>
      <c r="L56" s="3257" t="str">
        <f>IF(项目基本情况!I6="上海银行","其他处置费用","")</f>
        <v/>
      </c>
      <c r="M56" s="3277"/>
      <c r="N56" s="2540" t="str">
        <f>IF(项目基本情况!I6="上海银行",N69,"")</f>
        <v/>
      </c>
      <c r="O56" s="3257" t="str">
        <f>IF(项目基本情况!I6="上海银行","包含处置中涉及的律师、诉讼、拍卖、评估等费用","")</f>
        <v/>
      </c>
      <c r="P56" s="3258"/>
      <c r="Q56" s="1308"/>
    </row>
    <row r="57" spans="1:17" ht="13.2">
      <c r="A57" s="2081" t="s">
        <v>1787</v>
      </c>
      <c r="B57" s="3330" t="s">
        <v>1813</v>
      </c>
      <c r="C57" s="3319"/>
      <c r="D57" s="2570">
        <v>0</v>
      </c>
      <c r="E57" s="261" t="s">
        <v>1789</v>
      </c>
      <c r="F57" s="235"/>
      <c r="G57" s="2578"/>
      <c r="H57" s="2984"/>
      <c r="I57" s="2984"/>
      <c r="J57" s="2857"/>
      <c r="K57" s="3259">
        <f>IF(AND(K55="",K56=""),4,IF(项目基本情况!I6="上海银行",K56+1,K55+1))</f>
        <v>4</v>
      </c>
      <c r="L57" s="3259" t="s">
        <v>2768</v>
      </c>
      <c r="M57" s="2546" t="s">
        <v>2769</v>
      </c>
      <c r="N57" s="2547"/>
      <c r="O57" s="2548">
        <f ca="1">SUMIF(N52:N56,"&lt;9e307")</f>
        <v>0</v>
      </c>
      <c r="P57" s="2549"/>
      <c r="Q57" s="1306" t="e">
        <f ca="1">O57/N49</f>
        <v>#VALUE!</v>
      </c>
    </row>
    <row r="58" spans="1:17" ht="25.2">
      <c r="A58" s="2081" t="s">
        <v>1798</v>
      </c>
      <c r="B58" s="3330" t="s">
        <v>1816</v>
      </c>
      <c r="C58" s="3318"/>
      <c r="D58" s="12" t="e">
        <f ca="1">IF(H58="转让取得",C81,C97)</f>
        <v>#REF!</v>
      </c>
      <c r="E58" s="2091" t="s">
        <v>1811</v>
      </c>
      <c r="F58" s="235" t="s">
        <v>48</v>
      </c>
      <c r="G58" s="2578"/>
      <c r="H58" s="2580" t="s">
        <v>1817</v>
      </c>
      <c r="I58" s="2984"/>
      <c r="J58" s="2857"/>
      <c r="K58" s="3259"/>
      <c r="L58" s="3259"/>
      <c r="M58" s="2546" t="s">
        <v>2770</v>
      </c>
      <c r="N58" s="2550"/>
      <c r="O58" s="2551" t="str">
        <f ca="1">IF(H19="元",NUMBERSTRING(INT(O57),2)&amp;"元整",NUMBERSTRING(INT(O57*10000),2)&amp;"元整")</f>
        <v>零元整</v>
      </c>
      <c r="P58" s="2552"/>
      <c r="Q58" s="1308"/>
    </row>
    <row r="59" spans="1:17" ht="24.6" thickBot="1">
      <c r="A59" s="3346" t="s">
        <v>1819</v>
      </c>
      <c r="B59" s="3347"/>
      <c r="C59" s="3347"/>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12">
        <f>K57+1</f>
        <v>5</v>
      </c>
      <c r="L59" s="3259"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13"/>
      <c r="L60" s="3259"/>
      <c r="M60" s="2546" t="s">
        <v>2770</v>
      </c>
      <c r="N60" s="2550"/>
      <c r="O60" s="2551" t="e">
        <f ca="1">IF(H19="元",NUMBERSTRING(INT(O59),2)&amp;"元整",NUMBERSTRING(INT(O59*10000),2)&amp;"元整")</f>
        <v>#VALUE!</v>
      </c>
      <c r="P60" s="2552"/>
      <c r="Q60" s="1308"/>
    </row>
    <row r="61" spans="1:17" ht="13.8" thickBot="1">
      <c r="A61" s="3348" t="s">
        <v>1821</v>
      </c>
      <c r="B61" s="3348"/>
      <c r="C61" s="3348"/>
      <c r="D61" s="3348"/>
      <c r="E61" s="3348"/>
      <c r="F61" s="2985"/>
      <c r="G61" s="2985"/>
      <c r="H61" s="2987"/>
      <c r="I61" s="31"/>
      <c r="K61" s="2538">
        <f>K59+1</f>
        <v>6</v>
      </c>
      <c r="L61" s="3259" t="s">
        <v>2772</v>
      </c>
      <c r="M61" s="3259"/>
      <c r="N61" s="2556"/>
      <c r="O61" s="2557" t="e">
        <f ca="1">IF(H19="元",ROUND(O59/项目基本情况!C12,0),ROUND(O59*10000/项目基本情况!C12,0))</f>
        <v>#VALUE!</v>
      </c>
      <c r="P61" s="2558"/>
      <c r="Q61" s="1308"/>
    </row>
    <row r="62" spans="1:17" ht="13.2">
      <c r="A62" s="3297" t="s">
        <v>1823</v>
      </c>
      <c r="B62" s="3298"/>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278"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278"/>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278"/>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278"/>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278"/>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278"/>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78"/>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299" t="s">
        <v>1843</v>
      </c>
      <c r="B70" s="3300"/>
      <c r="C70" s="3300"/>
      <c r="D70" s="3300"/>
      <c r="E70" s="3300"/>
      <c r="F70" s="3300"/>
      <c r="G70" s="3300"/>
      <c r="H70" s="3300"/>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297" t="s">
        <v>1823</v>
      </c>
      <c r="B71" s="3298"/>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30" t="s">
        <v>1853</v>
      </c>
      <c r="F76" s="3318"/>
      <c r="G76" s="3318"/>
      <c r="H76" s="3331"/>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266" t="s">
        <v>1858</v>
      </c>
      <c r="F78" s="3267"/>
      <c r="G78" s="3267"/>
      <c r="H78" s="3287"/>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299" t="s">
        <v>1862</v>
      </c>
      <c r="B83" s="3300"/>
      <c r="C83" s="3300"/>
      <c r="D83" s="3300"/>
      <c r="E83" s="3300"/>
      <c r="F83" s="3300"/>
      <c r="G83" s="3300"/>
      <c r="H83" s="3300"/>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297" t="s">
        <v>1823</v>
      </c>
      <c r="B84" s="3298"/>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06" t="s">
        <v>2743</v>
      </c>
      <c r="H90" s="3306"/>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66" t="s">
        <v>1870</v>
      </c>
      <c r="F91" s="3267"/>
      <c r="G91" s="3267"/>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66" t="s">
        <v>1873</v>
      </c>
      <c r="F92" s="3267"/>
      <c r="G92" s="3267"/>
      <c r="H92" s="3287"/>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266" t="s">
        <v>1858</v>
      </c>
      <c r="F93" s="3267"/>
      <c r="G93" s="3267"/>
      <c r="H93" s="3287"/>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66" t="s">
        <v>1875</v>
      </c>
      <c r="F94" s="3267"/>
      <c r="G94" s="3267"/>
      <c r="H94" s="3287"/>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284" t="s">
        <v>1877</v>
      </c>
      <c r="B99" s="3285"/>
      <c r="C99" s="3285"/>
      <c r="D99" s="3286"/>
      <c r="E99" s="1461"/>
      <c r="F99" s="3294" t="s">
        <v>1878</v>
      </c>
      <c r="G99" s="3295"/>
      <c r="H99" s="3295"/>
      <c r="I99" s="3296"/>
      <c r="J99" s="2863"/>
    </row>
    <row r="100" spans="1:36" ht="15">
      <c r="A100" s="3301" t="s">
        <v>1879</v>
      </c>
      <c r="B100" s="3302"/>
      <c r="C100" s="1307" t="str">
        <f>C4</f>
        <v>比较法-住宅</v>
      </c>
      <c r="D100" s="2811" t="str">
        <f>D4</f>
        <v>比较法-住宅</v>
      </c>
      <c r="E100" s="1461"/>
      <c r="F100" s="3303" t="s">
        <v>2787</v>
      </c>
      <c r="G100" s="3305"/>
      <c r="H100" s="3303" t="s">
        <v>2788</v>
      </c>
      <c r="I100" s="3304"/>
      <c r="J100" s="2864"/>
    </row>
    <row r="101" spans="1:36" ht="13.2">
      <c r="A101" s="3320" t="s">
        <v>2820</v>
      </c>
      <c r="B101" s="2308" t="str">
        <f>IF(H19="元","总价（元）","总价（万元）")</f>
        <v>总价（万元）</v>
      </c>
      <c r="C101" s="1307">
        <f ca="1">C19</f>
        <v>0</v>
      </c>
      <c r="D101" s="2811">
        <f ca="1">D19</f>
        <v>0</v>
      </c>
      <c r="E101" s="1461"/>
      <c r="F101" s="3303" t="str">
        <f>项目基本情况!I1</f>
        <v>北京市房地产</v>
      </c>
      <c r="G101" s="3305"/>
      <c r="H101" s="3307">
        <f>项目基本情况!C12</f>
        <v>0</v>
      </c>
      <c r="I101" s="3304"/>
      <c r="J101" s="2864"/>
    </row>
    <row r="102" spans="1:36" ht="13.2">
      <c r="A102" s="3320"/>
      <c r="B102" s="2308" t="s">
        <v>2821</v>
      </c>
      <c r="C102" s="2812">
        <f ca="1">C20</f>
        <v>54</v>
      </c>
      <c r="D102" s="2813">
        <f ca="1">D20</f>
        <v>54</v>
      </c>
      <c r="E102" s="1461"/>
      <c r="F102" s="3290" t="s">
        <v>2817</v>
      </c>
      <c r="G102" s="3291"/>
      <c r="H102" s="2821" t="str">
        <f>C106</f>
        <v>总价（万元）</v>
      </c>
      <c r="I102" s="2822" t="e">
        <f ca="1">H121</f>
        <v>#REF!</v>
      </c>
      <c r="J102" s="2864"/>
    </row>
    <row r="103" spans="1:36" ht="13.2">
      <c r="A103" s="3320" t="s">
        <v>2822</v>
      </c>
      <c r="B103" s="2246" t="str">
        <f>B101</f>
        <v>总价（万元）</v>
      </c>
      <c r="C103" s="2816" t="e">
        <f ca="1">H121</f>
        <v>#REF!</v>
      </c>
      <c r="D103" s="2814"/>
      <c r="E103" s="1461"/>
      <c r="F103" s="3290"/>
      <c r="G103" s="3291"/>
      <c r="H103" s="2821" t="s">
        <v>2790</v>
      </c>
      <c r="I103" s="52" t="e">
        <f ca="1">I121</f>
        <v>#REF!</v>
      </c>
      <c r="J103" s="2848"/>
    </row>
    <row r="104" spans="1:36" ht="13.8" thickBot="1">
      <c r="A104" s="3321"/>
      <c r="B104" s="2818" t="s">
        <v>2821</v>
      </c>
      <c r="C104" s="2819" t="e">
        <f ca="1">I121</f>
        <v>#REF!</v>
      </c>
      <c r="D104" s="2820"/>
      <c r="E104" s="1461"/>
      <c r="F104" s="3290"/>
      <c r="G104" s="3291"/>
      <c r="H104" s="3322"/>
      <c r="I104" s="3323"/>
      <c r="J104" s="2865"/>
    </row>
    <row r="105" spans="1:36" ht="13.8">
      <c r="A105" s="3284" t="s">
        <v>1880</v>
      </c>
      <c r="B105" s="3285"/>
      <c r="C105" s="3285"/>
      <c r="D105" s="3286"/>
      <c r="E105" s="1461"/>
      <c r="F105" s="3326" t="s">
        <v>2791</v>
      </c>
      <c r="G105" s="3327"/>
      <c r="H105" s="2823" t="str">
        <f>C108</f>
        <v>总额（万元）</v>
      </c>
      <c r="I105" s="2822">
        <f>SUMIF(I106:I108,"&lt;9E307")</f>
        <v>0</v>
      </c>
      <c r="J105" s="2864"/>
    </row>
    <row r="106" spans="1:36" ht="13.8">
      <c r="A106" s="3290" t="s">
        <v>2814</v>
      </c>
      <c r="B106" s="3291"/>
      <c r="C106" s="2821" t="str">
        <f>B101</f>
        <v>总价（万元）</v>
      </c>
      <c r="D106" s="2822" t="e">
        <f ca="1">H121</f>
        <v>#REF!</v>
      </c>
      <c r="E106" s="1461"/>
      <c r="F106" s="3292" t="s">
        <v>2792</v>
      </c>
      <c r="G106" s="3293"/>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290"/>
      <c r="B107" s="3291"/>
      <c r="C107" s="2821" t="s">
        <v>2815</v>
      </c>
      <c r="D107" s="52" t="e">
        <f ca="1">I121</f>
        <v>#REF!</v>
      </c>
      <c r="E107" s="1461"/>
      <c r="F107" s="3292" t="s">
        <v>2793</v>
      </c>
      <c r="G107" s="3293"/>
      <c r="H107" s="2823" t="str">
        <f>C110</f>
        <v>总额（万元）</v>
      </c>
      <c r="I107" s="52">
        <f>C37</f>
        <v>0</v>
      </c>
      <c r="J107" s="2848"/>
    </row>
    <row r="108" spans="1:36" ht="13.2">
      <c r="A108" s="3361" t="s">
        <v>2791</v>
      </c>
      <c r="B108" s="3362"/>
      <c r="C108" s="2823" t="str">
        <f>IF(H19="元","总额（元）","总额（万元）")</f>
        <v>总额（万元）</v>
      </c>
      <c r="D108" s="2822">
        <f>IF(D36="正常操作",I106+I107+I108,I107+I108)</f>
        <v>0</v>
      </c>
      <c r="E108" s="1461"/>
      <c r="F108" s="3292" t="s">
        <v>2818</v>
      </c>
      <c r="G108" s="3293"/>
      <c r="H108" s="2823" t="str">
        <f>C111</f>
        <v>总额（万元）</v>
      </c>
      <c r="I108" s="52">
        <f>C38</f>
        <v>0</v>
      </c>
      <c r="J108" s="2848"/>
    </row>
    <row r="109" spans="1:36" ht="13.2">
      <c r="A109" s="3292" t="s">
        <v>2792</v>
      </c>
      <c r="B109" s="3293"/>
      <c r="C109" s="2823" t="str">
        <f>C108</f>
        <v>总额（万元）</v>
      </c>
      <c r="D109" s="52">
        <f>IF(D36="同一抵押权人同一抵押物续贷",C36&amp;"（未扣减，详见特别提示）",C36)</f>
        <v>0</v>
      </c>
      <c r="E109" s="1461"/>
      <c r="F109" s="3290"/>
      <c r="G109" s="3291"/>
      <c r="H109" s="3324"/>
      <c r="I109" s="3325"/>
      <c r="J109" s="2866"/>
    </row>
    <row r="110" spans="1:36" ht="28.5" customHeight="1">
      <c r="A110" s="3292" t="s">
        <v>2816</v>
      </c>
      <c r="B110" s="3293"/>
      <c r="C110" s="2823" t="str">
        <f>C108</f>
        <v>总额（万元）</v>
      </c>
      <c r="D110" s="52">
        <f>C37</f>
        <v>0</v>
      </c>
      <c r="E110" s="1461"/>
      <c r="F110" s="3273" t="str">
        <f>IF(项目基本情况!F5="已注销","——","3.房地产抵押价值")</f>
        <v>3.房地产抵押价值</v>
      </c>
      <c r="G110" s="3274"/>
      <c r="H110" s="2809" t="str">
        <f>C112</f>
        <v>总价（万元）</v>
      </c>
      <c r="I110" s="2822" t="e">
        <f ca="1">IF(F110="——","——",I102-I105)</f>
        <v>#REF!</v>
      </c>
      <c r="J110" s="2864"/>
    </row>
    <row r="111" spans="1:36" ht="13.2">
      <c r="A111" s="3292" t="s">
        <v>2795</v>
      </c>
      <c r="B111" s="3293"/>
      <c r="C111" s="2823" t="str">
        <f>C108</f>
        <v>总额（万元）</v>
      </c>
      <c r="D111" s="52">
        <f>C38</f>
        <v>0</v>
      </c>
      <c r="E111" s="1461"/>
      <c r="F111" s="3275"/>
      <c r="G111" s="3276"/>
      <c r="H111" s="2821" t="s">
        <v>2790</v>
      </c>
      <c r="I111" s="2825" t="e">
        <f ca="1">D113</f>
        <v>#REF!</v>
      </c>
      <c r="J111" s="2867"/>
    </row>
    <row r="112" spans="1:36" ht="26.25" customHeight="1">
      <c r="A112" s="3290" t="str">
        <f>IF(项目基本情况!F5="已注销","——","3.房地产抵押价值")</f>
        <v>3.房地产抵押价值</v>
      </c>
      <c r="B112" s="3291"/>
      <c r="C112" s="2821" t="str">
        <f>B101</f>
        <v>总价（万元）</v>
      </c>
      <c r="D112" s="2822" t="e">
        <f ca="1">IF(A112="——","——",D106-D108)</f>
        <v>#REF!</v>
      </c>
      <c r="E112" s="1461"/>
      <c r="F112" s="3273" t="str">
        <f>IF(项目基本情况!F5="已注销及未注销","4.抵押担保权已注销时的房地产抵押价值",IF(项目基本情况!F5="已注销","3.抵押担保权已注销时的房地产抵押价值","——"))</f>
        <v>——</v>
      </c>
      <c r="G112" s="3274"/>
      <c r="H112" s="2809" t="str">
        <f>C114</f>
        <v>总价（万元）</v>
      </c>
      <c r="I112" s="2822" t="str">
        <f>IF(F112="——","——",I102-I107-I108)</f>
        <v>——</v>
      </c>
      <c r="J112" s="2864"/>
    </row>
    <row r="113" spans="1:16" ht="13.2">
      <c r="A113" s="3290"/>
      <c r="B113" s="3291"/>
      <c r="C113" s="2821" t="s">
        <v>2783</v>
      </c>
      <c r="D113" s="52" t="e">
        <f ca="1">ROUND(IF(D112=D106,D107,IF(H19="元",D112/项目基本情况!C12,D112*10000/项目基本情况!C12)),0)</f>
        <v>#REF!</v>
      </c>
      <c r="E113" s="1461"/>
      <c r="F113" s="3275"/>
      <c r="G113" s="3276"/>
      <c r="H113" s="2821" t="s">
        <v>2819</v>
      </c>
      <c r="I113" s="52" t="str">
        <f>D115</f>
        <v>——</v>
      </c>
      <c r="J113" s="2848"/>
    </row>
    <row r="114" spans="1:16" ht="13.2">
      <c r="A114" s="3290" t="str">
        <f>IF(项目基本情况!F5="已注销及未注销","4.抵押担保权已注销时的房地产抵押价值",IF(项目基本情况!F5="已注销","3.抵押担保权已注销时的房地产抵押价值","——"))</f>
        <v>——</v>
      </c>
      <c r="B114" s="3291"/>
      <c r="C114" s="2821" t="str">
        <f>B101</f>
        <v>总价（万元）</v>
      </c>
      <c r="D114" s="2822" t="str">
        <f>IF(A114="——","——",D106-D110-D111)</f>
        <v>——</v>
      </c>
      <c r="E114" s="1461"/>
      <c r="F114" s="3273" t="str">
        <f>IF(项目基本情况!G5="抵押净值",IF(OR(项目基本情况!F5="已注销",项目基本情况!F5="房地产抵押价值"),"4.抵押净值","5.抵押净值"),"——")</f>
        <v>——</v>
      </c>
      <c r="G114" s="3274"/>
      <c r="H114" s="2821" t="str">
        <f>C116</f>
        <v>总价（万元）</v>
      </c>
      <c r="I114" s="2822" t="str">
        <f>IF(F114="——","——",O59)</f>
        <v>——</v>
      </c>
      <c r="J114" s="2864"/>
    </row>
    <row r="115" spans="1:16" ht="13.8" thickBot="1">
      <c r="A115" s="3290"/>
      <c r="B115" s="3291"/>
      <c r="C115" s="2821" t="s">
        <v>2783</v>
      </c>
      <c r="D115" s="52" t="str">
        <f>IF(A114="——","——",ROUND(IF(D114=D106,D107,IF(H19="元",D114/项目基本情况!C12,D114*10000/项目基本情况!C12)),0))</f>
        <v>——</v>
      </c>
      <c r="E115" s="1461"/>
      <c r="F115" s="3353"/>
      <c r="G115" s="3354"/>
      <c r="H115" s="2826" t="s">
        <v>2783</v>
      </c>
      <c r="I115" s="2810" t="e">
        <f ca="1">D117</f>
        <v>#REF!</v>
      </c>
      <c r="J115" s="2848"/>
    </row>
    <row r="116" spans="1:16" ht="15.6">
      <c r="A116" s="3290" t="str">
        <f>IF(项目基本情况!G5="抵押净值",IF(OR(项目基本情况!F5="已注销",项目基本情况!F5="房地产抵押价值"),"4.抵押净值","5.抵押净值"),"——")</f>
        <v>——</v>
      </c>
      <c r="B116" s="3291"/>
      <c r="C116" s="2821" t="str">
        <f>B101</f>
        <v>总价（万元）</v>
      </c>
      <c r="D116" s="2822" t="str">
        <f>IF(A116="——","——",O59)</f>
        <v>——</v>
      </c>
      <c r="E116" s="1461"/>
      <c r="F116" s="3268"/>
      <c r="G116" s="3268"/>
      <c r="H116" s="3309"/>
      <c r="I116" s="3309"/>
      <c r="J116" s="2868"/>
      <c r="O116" s="32"/>
      <c r="P116" s="32"/>
    </row>
    <row r="117" spans="1:16" ht="13.8" thickBot="1">
      <c r="A117" s="3359"/>
      <c r="B117" s="3360"/>
      <c r="C117" s="2826" t="s">
        <v>2783</v>
      </c>
      <c r="D117" s="2810" t="e">
        <f ca="1">IF(D116=D112,D113,IF(A116="——","——",O61))</f>
        <v>#REF!</v>
      </c>
      <c r="E117" s="1461"/>
      <c r="F117" s="3352" t="str">
        <f>IF(B32="总价","（以上估价结果中单价为总价除以建筑面积得出）","（以上估价结果中总价为楼面单价乘以建筑面积得出）")</f>
        <v>（以上估价结果中总价为楼面单价乘以建筑面积得出）</v>
      </c>
      <c r="G117" s="3352"/>
      <c r="H117" s="3352"/>
      <c r="I117" s="3352"/>
      <c r="J117" s="2869"/>
      <c r="O117" s="32"/>
      <c r="P117" s="32"/>
    </row>
    <row r="118" spans="1:16" ht="14.4">
      <c r="A118" s="3310" t="s">
        <v>1881</v>
      </c>
      <c r="B118" s="3311"/>
      <c r="C118" s="3311"/>
      <c r="D118" s="3311"/>
      <c r="E118" s="3311"/>
      <c r="F118" s="3311"/>
      <c r="G118" s="3311"/>
      <c r="H118" s="3311"/>
      <c r="I118" s="3311"/>
      <c r="J118" s="2870"/>
    </row>
    <row r="119" spans="1:16" ht="13.2">
      <c r="A119" s="3283" t="s">
        <v>2801</v>
      </c>
      <c r="B119" s="3281" t="s">
        <v>2811</v>
      </c>
      <c r="C119" s="3281" t="s">
        <v>2812</v>
      </c>
      <c r="D119" s="3288" t="s">
        <v>2803</v>
      </c>
      <c r="E119" s="3289"/>
      <c r="F119" s="3279" t="s">
        <v>2813</v>
      </c>
      <c r="G119" s="3279"/>
      <c r="H119" s="3279" t="s">
        <v>2804</v>
      </c>
      <c r="I119" s="3280"/>
      <c r="J119" s="2848"/>
    </row>
    <row r="120" spans="1:16" ht="13.2">
      <c r="A120" s="3283"/>
      <c r="B120" s="3282"/>
      <c r="C120" s="3282"/>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283" t="s">
        <v>2807</v>
      </c>
      <c r="B122" s="3279"/>
      <c r="C122" s="3279"/>
      <c r="D122" s="3314" t="e">
        <f ca="1">IF(H19="元",NUMBERSTRING(INT(D121),2)&amp;"元整",NUMBERSTRING(INT(D121*10000),2)&amp;"元整")</f>
        <v>#REF!</v>
      </c>
      <c r="E122" s="3315"/>
      <c r="F122" s="3314" t="e">
        <f ca="1">IF(H19="元",NUMBERSTRING(INT(F121),2)&amp;"元整",NUMBERSTRING(INT(F121*10000),2)&amp;"元整")</f>
        <v>#REF!</v>
      </c>
      <c r="G122" s="3315"/>
      <c r="H122" s="3314" t="e">
        <f ca="1">IF(H19="元",NUMBERSTRING(INT(H121),2)&amp;"元整",NUMBERSTRING(INT(H121*10000),2)&amp;"元整")</f>
        <v>#REF!</v>
      </c>
      <c r="I122" s="3363"/>
      <c r="J122" s="2871"/>
    </row>
    <row r="123" spans="1:16" ht="13.2">
      <c r="A123" s="3303" t="str">
        <f>IF(项目基本情况!D5="房地产市场价值","——",MID(A108,3,LEN(A108)-2))</f>
        <v>——</v>
      </c>
      <c r="B123" s="3316"/>
      <c r="C123" s="3305"/>
      <c r="D123" s="3307">
        <f>I105</f>
        <v>0</v>
      </c>
      <c r="E123" s="3316"/>
      <c r="F123" s="3316"/>
      <c r="G123" s="3316"/>
      <c r="H123" s="3316"/>
      <c r="I123" s="3304"/>
      <c r="J123" s="2864"/>
    </row>
    <row r="124" spans="1:16" ht="13.2">
      <c r="A124" s="3317" t="s">
        <v>2807</v>
      </c>
      <c r="B124" s="3318"/>
      <c r="C124" s="3319"/>
      <c r="D124" s="3355">
        <f>H109</f>
        <v>0</v>
      </c>
      <c r="E124" s="3356"/>
      <c r="F124" s="3356"/>
      <c r="G124" s="3356"/>
      <c r="H124" s="3356"/>
      <c r="I124" s="3357"/>
      <c r="J124" s="2872"/>
    </row>
    <row r="125" spans="1:16" ht="13.2">
      <c r="A125" s="3290" t="str">
        <f>IF(项目基本情况!D5="房地产市场价值","——",MID(A112,3,LEN(A112)-2))</f>
        <v>——</v>
      </c>
      <c r="B125" s="3291"/>
      <c r="C125" s="3291"/>
      <c r="D125" s="3307" t="e">
        <f ca="1">I110</f>
        <v>#REF!</v>
      </c>
      <c r="E125" s="3316"/>
      <c r="F125" s="3316"/>
      <c r="G125" s="3316"/>
      <c r="H125" s="3316"/>
      <c r="I125" s="3304"/>
      <c r="J125" s="2864"/>
    </row>
    <row r="126" spans="1:16" ht="13.2">
      <c r="A126" s="3283" t="s">
        <v>2807</v>
      </c>
      <c r="B126" s="3279"/>
      <c r="C126" s="3279"/>
      <c r="D126" s="3355" t="e">
        <f ca="1">I111</f>
        <v>#REF!</v>
      </c>
      <c r="E126" s="3356"/>
      <c r="F126" s="3356"/>
      <c r="G126" s="3356"/>
      <c r="H126" s="3356"/>
      <c r="I126" s="3357"/>
      <c r="J126" s="2872"/>
    </row>
    <row r="127" spans="1:16" ht="13.8" thickBot="1">
      <c r="A127" s="3290" t="str">
        <f>IF(项目基本情况!D5="房地产市场价值","——",MID(A114,3,LEN(A114)-2))</f>
        <v>——</v>
      </c>
      <c r="B127" s="3291"/>
      <c r="C127" s="3291"/>
      <c r="D127" s="3263" t="str">
        <f>I112</f>
        <v>——</v>
      </c>
      <c r="E127" s="3264"/>
      <c r="F127" s="3264"/>
      <c r="G127" s="3264"/>
      <c r="H127" s="3264"/>
      <c r="I127" s="3265"/>
      <c r="J127" s="2864"/>
    </row>
    <row r="128" spans="1:16" ht="14.4" thickTop="1" thickBot="1">
      <c r="A128" s="3283" t="s">
        <v>2807</v>
      </c>
      <c r="B128" s="3279"/>
      <c r="C128" s="3330"/>
      <c r="D128" s="3308" t="str">
        <f>I113</f>
        <v>——</v>
      </c>
      <c r="E128" s="3308"/>
      <c r="F128" s="3308"/>
      <c r="G128" s="3308"/>
      <c r="H128" s="3308"/>
      <c r="I128" s="3308"/>
      <c r="J128" s="2872"/>
    </row>
    <row r="129" spans="1:10" ht="14.4" thickTop="1" thickBot="1">
      <c r="A129" s="3290" t="str">
        <f>IF(项目基本情况!D5="房地产市场价值","——",MID(F114,3,LEN(F114)-2))</f>
        <v>——</v>
      </c>
      <c r="B129" s="3291"/>
      <c r="C129" s="3307"/>
      <c r="D129" s="3358" t="str">
        <f>I114</f>
        <v>——</v>
      </c>
      <c r="E129" s="3358"/>
      <c r="F129" s="3358"/>
      <c r="G129" s="3358"/>
      <c r="H129" s="3358"/>
      <c r="I129" s="3358"/>
      <c r="J129" s="2864"/>
    </row>
    <row r="130" spans="1:10" ht="14.4" thickTop="1" thickBot="1">
      <c r="A130" s="3346" t="s">
        <v>2807</v>
      </c>
      <c r="B130" s="3347"/>
      <c r="C130" s="3347"/>
      <c r="D130" s="3364">
        <f>H116</f>
        <v>0</v>
      </c>
      <c r="E130" s="3365"/>
      <c r="F130" s="3365"/>
      <c r="G130" s="3365"/>
      <c r="H130" s="3365"/>
      <c r="I130" s="3366"/>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351" t="str">
        <f>IF(B32="总价","（以上估价结果中楼面单价为总价除以建筑面积得出）","（以上估价结果中总价为楼面单价乘以建筑面积得出）")</f>
        <v>（以上估价结果中总价为楼面单价乘以建筑面积得出）</v>
      </c>
      <c r="B132" s="3351"/>
      <c r="C132" s="3351"/>
      <c r="D132" s="3351"/>
      <c r="E132" s="3351"/>
      <c r="F132" s="3351"/>
      <c r="G132" s="3351"/>
      <c r="H132" s="3351"/>
      <c r="I132" s="335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373" t="s">
        <v>1890</v>
      </c>
      <c r="B2" s="3373"/>
      <c r="C2" s="3373"/>
      <c r="D2" s="3373"/>
      <c r="E2" s="3373"/>
      <c r="F2" s="3373"/>
      <c r="G2" s="3373"/>
      <c r="H2" s="3373"/>
      <c r="I2" s="3373"/>
      <c r="J2" s="2877"/>
    </row>
    <row r="3" spans="1:15" ht="13.2">
      <c r="A3" s="3333" t="s">
        <v>1718</v>
      </c>
      <c r="B3" s="3334"/>
      <c r="C3" s="3334"/>
      <c r="D3" s="3334"/>
      <c r="E3" s="3334"/>
      <c r="F3" s="3334"/>
      <c r="G3" s="3334"/>
      <c r="H3" s="3334"/>
      <c r="I3" s="3334"/>
      <c r="J3" s="2847"/>
    </row>
    <row r="4" spans="1:15" ht="14.4">
      <c r="A4" s="2715" t="s">
        <v>1719</v>
      </c>
      <c r="B4" s="2715" t="s">
        <v>1720</v>
      </c>
      <c r="C4" s="2716"/>
      <c r="D4" s="2716"/>
      <c r="E4" s="3330" t="s">
        <v>1891</v>
      </c>
      <c r="F4" s="3318"/>
      <c r="G4" s="3318"/>
      <c r="H4" s="3318"/>
      <c r="I4" s="3319"/>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29" t="s">
        <v>1722</v>
      </c>
      <c r="B5" s="3329">
        <v>25</v>
      </c>
      <c r="C5" s="3335"/>
      <c r="D5" s="3332"/>
      <c r="E5" s="12" t="s">
        <v>1723</v>
      </c>
      <c r="F5" s="2088"/>
      <c r="G5" s="2088"/>
      <c r="H5" s="2088"/>
      <c r="I5" s="2083"/>
      <c r="J5" s="2848"/>
    </row>
    <row r="6" spans="1:15" ht="13.2">
      <c r="A6" s="3329"/>
      <c r="B6" s="3329"/>
      <c r="C6" s="3336"/>
      <c r="D6" s="3332"/>
      <c r="E6" s="12" t="s">
        <v>1724</v>
      </c>
      <c r="F6" s="2088"/>
      <c r="G6" s="2088"/>
      <c r="H6" s="2088"/>
      <c r="I6" s="2083"/>
      <c r="J6" s="2848"/>
    </row>
    <row r="7" spans="1:15" ht="13.2">
      <c r="A7" s="3329"/>
      <c r="B7" s="3329"/>
      <c r="C7" s="3337"/>
      <c r="D7" s="3332"/>
      <c r="E7" s="12" t="s">
        <v>1725</v>
      </c>
      <c r="F7" s="2088"/>
      <c r="G7" s="2088"/>
      <c r="H7" s="2088"/>
      <c r="I7" s="2083"/>
      <c r="J7" s="2848"/>
    </row>
    <row r="8" spans="1:15" ht="13.2">
      <c r="A8" s="3329" t="s">
        <v>1726</v>
      </c>
      <c r="B8" s="3329">
        <v>15</v>
      </c>
      <c r="C8" s="3335"/>
      <c r="D8" s="3332"/>
      <c r="E8" s="12" t="s">
        <v>1727</v>
      </c>
      <c r="F8" s="2088"/>
      <c r="G8" s="2088"/>
      <c r="H8" s="2088"/>
      <c r="I8" s="2083"/>
      <c r="J8" s="2848"/>
    </row>
    <row r="9" spans="1:15" ht="13.2">
      <c r="A9" s="3329"/>
      <c r="B9" s="3329"/>
      <c r="C9" s="3337"/>
      <c r="D9" s="3332"/>
      <c r="E9" s="12" t="s">
        <v>1728</v>
      </c>
      <c r="F9" s="2088"/>
      <c r="G9" s="2088"/>
      <c r="H9" s="2088"/>
      <c r="I9" s="2083"/>
      <c r="J9" s="2848"/>
    </row>
    <row r="10" spans="1:15" ht="13.2">
      <c r="A10" s="3329" t="s">
        <v>1729</v>
      </c>
      <c r="B10" s="3329">
        <v>15</v>
      </c>
      <c r="C10" s="3335"/>
      <c r="D10" s="3332"/>
      <c r="E10" s="12" t="s">
        <v>1730</v>
      </c>
      <c r="F10" s="2088"/>
      <c r="G10" s="2088"/>
      <c r="H10" s="2088"/>
      <c r="I10" s="2083"/>
      <c r="J10" s="2848"/>
    </row>
    <row r="11" spans="1:15" ht="13.2">
      <c r="A11" s="3329"/>
      <c r="B11" s="3329"/>
      <c r="C11" s="3337"/>
      <c r="D11" s="3332"/>
      <c r="E11" s="12" t="s">
        <v>1731</v>
      </c>
      <c r="F11" s="2088"/>
      <c r="G11" s="2088"/>
      <c r="H11" s="2088"/>
      <c r="I11" s="2083"/>
      <c r="J11" s="2848"/>
    </row>
    <row r="12" spans="1:15" ht="13.2">
      <c r="A12" s="3329" t="s">
        <v>1732</v>
      </c>
      <c r="B12" s="3329">
        <v>15</v>
      </c>
      <c r="C12" s="3335"/>
      <c r="D12" s="3332"/>
      <c r="E12" s="12" t="s">
        <v>1733</v>
      </c>
      <c r="F12" s="2088"/>
      <c r="G12" s="2088"/>
      <c r="H12" s="2088"/>
      <c r="I12" s="2083"/>
      <c r="J12" s="2848"/>
    </row>
    <row r="13" spans="1:15" ht="13.2">
      <c r="A13" s="3329"/>
      <c r="B13" s="3329"/>
      <c r="C13" s="3337"/>
      <c r="D13" s="3332"/>
      <c r="E13" s="12" t="s">
        <v>1734</v>
      </c>
      <c r="F13" s="2088"/>
      <c r="G13" s="2088"/>
      <c r="H13" s="2088"/>
      <c r="I13" s="2083"/>
      <c r="J13" s="2848"/>
    </row>
    <row r="14" spans="1:15" ht="13.2">
      <c r="A14" s="3329" t="s">
        <v>1735</v>
      </c>
      <c r="B14" s="3329">
        <v>30</v>
      </c>
      <c r="C14" s="3335"/>
      <c r="D14" s="3332"/>
      <c r="E14" s="12" t="s">
        <v>1736</v>
      </c>
      <c r="F14" s="2088"/>
      <c r="G14" s="2088"/>
      <c r="H14" s="2088"/>
      <c r="I14" s="2083"/>
      <c r="J14" s="2848"/>
    </row>
    <row r="15" spans="1:15" ht="13.2">
      <c r="A15" s="3329"/>
      <c r="B15" s="3329"/>
      <c r="C15" s="3336"/>
      <c r="D15" s="3332"/>
      <c r="E15" s="12" t="s">
        <v>1737</v>
      </c>
      <c r="F15" s="2088"/>
      <c r="G15" s="2088"/>
      <c r="H15" s="2088"/>
      <c r="I15" s="2083"/>
      <c r="J15" s="2848"/>
    </row>
    <row r="16" spans="1:15" ht="13.2">
      <c r="A16" s="3329"/>
      <c r="B16" s="3329"/>
      <c r="C16" s="3337"/>
      <c r="D16" s="3332"/>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49" t="s">
        <v>2826</v>
      </c>
      <c r="F18" s="3350"/>
      <c r="G18" s="3350"/>
      <c r="H18" s="3350"/>
      <c r="I18" s="3350"/>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38" t="s">
        <v>1747</v>
      </c>
      <c r="B24" s="2723" t="s">
        <v>1742</v>
      </c>
      <c r="C24" s="2726">
        <f>D30</f>
        <v>0</v>
      </c>
      <c r="D24" s="2678"/>
      <c r="E24" s="947"/>
      <c r="F24" s="947"/>
      <c r="G24" s="947"/>
      <c r="H24" s="947"/>
      <c r="I24" s="947"/>
      <c r="J24" s="2849"/>
    </row>
    <row r="25" spans="1:36" ht="21.75" customHeight="1">
      <c r="A25" s="3339"/>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395" t="s">
        <v>1894</v>
      </c>
      <c r="B32" s="3395"/>
      <c r="C32" s="3395"/>
      <c r="D32" s="3395"/>
      <c r="E32" s="3395"/>
      <c r="F32" s="3395"/>
      <c r="G32" s="3395"/>
      <c r="H32" s="3395"/>
      <c r="I32" s="3395"/>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38" t="s">
        <v>1903</v>
      </c>
      <c r="B38" s="1468" t="s">
        <v>1904</v>
      </c>
      <c r="C38" s="2759"/>
      <c r="D38" s="2760"/>
      <c r="E38" s="1680"/>
      <c r="F38" s="1680"/>
      <c r="G38" s="947"/>
      <c r="H38" s="947"/>
      <c r="I38" s="947"/>
      <c r="J38" s="2849"/>
    </row>
    <row r="39" spans="1:16" ht="15" thickBot="1">
      <c r="A39" s="3343"/>
      <c r="B39" s="2093" t="s">
        <v>1905</v>
      </c>
      <c r="C39" s="2761"/>
      <c r="D39" s="1311"/>
      <c r="E39" s="1311"/>
      <c r="F39" s="1680"/>
      <c r="G39" s="1311"/>
      <c r="H39" s="1311"/>
      <c r="I39" s="1311"/>
      <c r="J39" s="2853"/>
    </row>
    <row r="40" spans="1:16" ht="15" thickBot="1">
      <c r="A40" s="3344"/>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263" t="s">
        <v>1916</v>
      </c>
      <c r="B47" s="3264"/>
      <c r="C47" s="3274"/>
      <c r="D47" s="246">
        <f>ROUND(I104*F47,0)</f>
        <v>0</v>
      </c>
      <c r="E47" s="1542" t="s">
        <v>1917</v>
      </c>
      <c r="F47" s="2563">
        <v>1</v>
      </c>
      <c r="G47" s="2564" t="s">
        <v>1918</v>
      </c>
      <c r="H47" s="947"/>
      <c r="I47" s="947"/>
      <c r="J47" s="2849"/>
      <c r="K47" s="3368" t="s">
        <v>1774</v>
      </c>
      <c r="L47" s="3368"/>
      <c r="M47" s="3368"/>
      <c r="N47" s="3368"/>
      <c r="O47" s="3368"/>
      <c r="P47" s="3368"/>
    </row>
    <row r="48" spans="1:16" ht="14.25" customHeight="1">
      <c r="A48" s="3340" t="s">
        <v>1775</v>
      </c>
      <c r="B48" s="3341"/>
      <c r="C48" s="3341"/>
      <c r="D48" s="3341"/>
      <c r="E48" s="3341"/>
      <c r="F48" s="3341"/>
      <c r="G48" s="3342"/>
      <c r="H48" s="2981"/>
      <c r="I48" s="947"/>
      <c r="J48" s="2849"/>
      <c r="K48" s="2515">
        <v>1</v>
      </c>
      <c r="L48" s="3369" t="s">
        <v>1776</v>
      </c>
      <c r="M48" s="3369"/>
      <c r="N48" s="3370"/>
      <c r="O48" s="3370"/>
      <c r="P48" s="3370"/>
    </row>
    <row r="49" spans="1:17" ht="12" customHeight="1">
      <c r="A49" s="38" t="s">
        <v>1777</v>
      </c>
      <c r="B49" s="39"/>
      <c r="C49" s="40"/>
      <c r="D49" s="1099" t="s">
        <v>1778</v>
      </c>
      <c r="E49" s="235" t="s">
        <v>1779</v>
      </c>
      <c r="F49" s="41" t="s">
        <v>1780</v>
      </c>
      <c r="G49" s="2566" t="s">
        <v>1781</v>
      </c>
      <c r="H49" s="2981"/>
      <c r="I49" s="947"/>
      <c r="J49" s="2849"/>
      <c r="K49" s="2515">
        <v>2</v>
      </c>
      <c r="L49" s="3369" t="s">
        <v>1782</v>
      </c>
      <c r="M49" s="3369"/>
      <c r="N49" s="3372">
        <f>'数据-取费表'!B2</f>
        <v>45513</v>
      </c>
      <c r="O49" s="3372"/>
      <c r="P49" s="3372"/>
    </row>
    <row r="50" spans="1:17" ht="26.4">
      <c r="A50" s="3345" t="s">
        <v>1783</v>
      </c>
      <c r="B50" s="3279"/>
      <c r="C50" s="3279"/>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369" t="s">
        <v>1786</v>
      </c>
      <c r="M50" s="3369"/>
      <c r="N50" s="3374">
        <f>I104</f>
        <v>0</v>
      </c>
      <c r="O50" s="3374"/>
      <c r="P50" s="3374"/>
    </row>
    <row r="51" spans="1:17" ht="25.5" customHeight="1">
      <c r="A51" s="2090" t="s">
        <v>1787</v>
      </c>
      <c r="B51" s="3318" t="s">
        <v>1788</v>
      </c>
      <c r="C51" s="3318"/>
      <c r="D51" s="2570">
        <v>0</v>
      </c>
      <c r="E51" s="261" t="s">
        <v>1789</v>
      </c>
      <c r="F51" s="2571" t="s">
        <v>48</v>
      </c>
      <c r="G51" s="3260"/>
      <c r="H51" s="2572" t="s">
        <v>2750</v>
      </c>
      <c r="I51" s="2573"/>
      <c r="J51" s="2857"/>
      <c r="K51" s="2515">
        <v>4</v>
      </c>
      <c r="L51" s="3369" t="str">
        <f>IF(项目基本情况!F5="房地产抵押价值","房地产抵押价值","抵押担保权已注销时的房地产抵押价值")</f>
        <v>抵押担保权已注销时的房地产抵押价值</v>
      </c>
      <c r="M51" s="3369"/>
      <c r="N51" s="3374" t="str">
        <f>IF(项目基本情况!F5="房地产抵押价值",I112,I114)</f>
        <v>——</v>
      </c>
      <c r="O51" s="3374"/>
      <c r="P51" s="3374"/>
    </row>
    <row r="52" spans="1:17" ht="25.5" customHeight="1">
      <c r="A52" s="2080"/>
      <c r="B52" s="3318" t="s">
        <v>1790</v>
      </c>
      <c r="C52" s="3318"/>
      <c r="D52" s="2574"/>
      <c r="E52" s="269"/>
      <c r="F52" s="2571"/>
      <c r="G52" s="3261"/>
      <c r="H52" s="2575" t="s">
        <v>2751</v>
      </c>
      <c r="I52" s="2573"/>
      <c r="J52" s="2857"/>
      <c r="K52" s="3369" t="s">
        <v>1791</v>
      </c>
      <c r="L52" s="3369"/>
      <c r="M52" s="3369"/>
      <c r="N52" s="3369"/>
      <c r="O52" s="3369"/>
      <c r="P52" s="3369"/>
    </row>
    <row r="53" spans="1:17" ht="20.399999999999999" customHeight="1">
      <c r="A53" s="2576"/>
      <c r="B53" s="3318" t="s">
        <v>1792</v>
      </c>
      <c r="C53" s="3318"/>
      <c r="D53" s="1099"/>
      <c r="E53" s="264"/>
      <c r="F53" s="2571"/>
      <c r="G53" s="3262"/>
      <c r="H53" s="2575" t="s">
        <v>2752</v>
      </c>
      <c r="I53" s="2573"/>
      <c r="J53" s="2857"/>
      <c r="K53" s="2516" t="s">
        <v>1793</v>
      </c>
      <c r="L53" s="3369" t="s">
        <v>1794</v>
      </c>
      <c r="M53" s="3369"/>
      <c r="N53" s="2516" t="s">
        <v>1795</v>
      </c>
      <c r="O53" s="2516" t="s">
        <v>1796</v>
      </c>
      <c r="P53" s="2516" t="s">
        <v>1797</v>
      </c>
    </row>
    <row r="54" spans="1:17" ht="24" customHeight="1">
      <c r="A54" s="2081" t="s">
        <v>1798</v>
      </c>
      <c r="B54" s="3318" t="s">
        <v>1799</v>
      </c>
      <c r="C54" s="3318"/>
      <c r="D54" s="1099">
        <f>ROUND(D47*'数据-取费表'!E29/(1+'数据-取费表'!F30),0)</f>
        <v>0</v>
      </c>
      <c r="E54" s="2091" t="s">
        <v>1800</v>
      </c>
      <c r="F54" s="2577">
        <f>'数据-取费表'!E29</f>
        <v>0</v>
      </c>
      <c r="G54" s="2578"/>
      <c r="H54" s="947"/>
      <c r="I54" s="2982"/>
      <c r="J54" s="2857"/>
      <c r="K54" s="2515">
        <v>1</v>
      </c>
      <c r="L54" s="3371" t="s">
        <v>1801</v>
      </c>
      <c r="M54" s="3371"/>
      <c r="N54" s="2517">
        <f>D50</f>
        <v>0</v>
      </c>
      <c r="O54" s="2515" t="str">
        <f>E50</f>
        <v>销售额×税（费）率</v>
      </c>
      <c r="P54" s="2518">
        <f>F50</f>
        <v>0</v>
      </c>
    </row>
    <row r="55" spans="1:17" ht="12" customHeight="1">
      <c r="A55" s="2081" t="s">
        <v>1802</v>
      </c>
      <c r="B55" s="3330" t="s">
        <v>2844</v>
      </c>
      <c r="C55" s="3319"/>
      <c r="D55" s="1099">
        <f>ROUND(D47*'数据-取费表'!E29/(1+'数据-取费表'!F30),0)</f>
        <v>0</v>
      </c>
      <c r="E55" s="2091" t="s">
        <v>1800</v>
      </c>
      <c r="F55" s="2577">
        <f>'数据-取费表'!E29</f>
        <v>0</v>
      </c>
      <c r="G55" s="2578"/>
      <c r="H55" s="947"/>
      <c r="I55" s="2982"/>
      <c r="J55" s="2857"/>
      <c r="K55" s="2515">
        <v>2</v>
      </c>
      <c r="L55" s="3371" t="s">
        <v>1803</v>
      </c>
      <c r="M55" s="3371"/>
      <c r="N55" s="2517">
        <f t="shared" ref="N55:P56" si="1">D57</f>
        <v>0</v>
      </c>
      <c r="O55" s="2515" t="str">
        <f t="shared" si="1"/>
        <v>销售额×税（费）率</v>
      </c>
      <c r="P55" s="2518">
        <f t="shared" si="1"/>
        <v>0</v>
      </c>
    </row>
    <row r="56" spans="1:17" ht="12" customHeight="1">
      <c r="A56" s="2081" t="s">
        <v>1804</v>
      </c>
      <c r="B56" s="3330" t="s">
        <v>2845</v>
      </c>
      <c r="C56" s="3319"/>
      <c r="D56" s="1099">
        <f>C70</f>
        <v>0</v>
      </c>
      <c r="E56" s="264" t="s">
        <v>1805</v>
      </c>
      <c r="F56" s="2577">
        <f>'数据-取费表'!E29</f>
        <v>0</v>
      </c>
      <c r="G56" s="2578"/>
      <c r="H56" s="2983"/>
      <c r="I56" s="2982"/>
      <c r="J56" s="2857"/>
      <c r="K56" s="2515">
        <v>3</v>
      </c>
      <c r="L56" s="3371" t="s">
        <v>1806</v>
      </c>
      <c r="M56" s="3371"/>
      <c r="N56" s="2517">
        <f t="shared" si="1"/>
        <v>0</v>
      </c>
      <c r="O56" s="2515" t="str">
        <f t="shared" si="1"/>
        <v>增值额×税（费）率</v>
      </c>
      <c r="P56" s="2519" t="str">
        <f t="shared" si="1"/>
        <v>——</v>
      </c>
    </row>
    <row r="57" spans="1:17" ht="24" customHeight="1">
      <c r="A57" s="3283" t="s">
        <v>1807</v>
      </c>
      <c r="B57" s="3279"/>
      <c r="C57" s="3279"/>
      <c r="D57" s="12">
        <f>IF(H57="个人住宅",0,ROUND(D47*I57,0))</f>
        <v>0</v>
      </c>
      <c r="E57" s="2091" t="s">
        <v>1808</v>
      </c>
      <c r="F57" s="2577">
        <f>IF(H57="正常",I57,"免征")</f>
        <v>0</v>
      </c>
      <c r="G57" s="2578"/>
      <c r="H57" s="2569" t="s">
        <v>1809</v>
      </c>
      <c r="I57" s="74">
        <f>'数据-取费表'!E37</f>
        <v>0</v>
      </c>
      <c r="J57" s="2857"/>
      <c r="K57" s="2515">
        <f>IF(H61="非个人房产","",4)</f>
        <v>4</v>
      </c>
      <c r="L57" s="3371" t="str">
        <f>IF(H61="非个人房产","——","个人所得税")</f>
        <v>个人所得税</v>
      </c>
      <c r="M57" s="3371"/>
      <c r="N57" s="2520">
        <f>D61</f>
        <v>0</v>
      </c>
      <c r="O57" s="2521" t="str">
        <f>E61</f>
        <v>销售额×税（费）率</v>
      </c>
      <c r="P57" s="2522">
        <f>F61</f>
        <v>0.01</v>
      </c>
    </row>
    <row r="58" spans="1:17" ht="25.2">
      <c r="A58" s="3283" t="s">
        <v>1810</v>
      </c>
      <c r="B58" s="3279"/>
      <c r="C58" s="3279"/>
      <c r="D58" s="12">
        <f>IF(H58="个人住宅",D59,D60)</f>
        <v>0</v>
      </c>
      <c r="E58" s="2091" t="s">
        <v>1811</v>
      </c>
      <c r="F58" s="2577" t="str">
        <f>IF(H58="正常",F60,"免征")</f>
        <v>——</v>
      </c>
      <c r="G58" s="2579" t="s">
        <v>1812</v>
      </c>
      <c r="H58" s="2580" t="s">
        <v>1809</v>
      </c>
      <c r="I58" s="2984"/>
      <c r="J58" s="2857"/>
      <c r="K58" s="2515" t="str">
        <f>IF(项目基本情况!I6="上海银行",IF(K57="",4,K57+1),"")</f>
        <v/>
      </c>
      <c r="L58" s="3375" t="str">
        <f>IF(项目基本情况!I6="上海银行","其他处置费用","")</f>
        <v/>
      </c>
      <c r="M58" s="3380"/>
      <c r="N58" s="2517" t="str">
        <f>IF(项目基本情况!I6="上海银行",N71,"")</f>
        <v/>
      </c>
      <c r="O58" s="3375" t="str">
        <f>IF(项目基本情况!I6="上海银行","包含处置中涉及的律师、诉讼、拍卖、评估等费用","")</f>
        <v/>
      </c>
      <c r="P58" s="3376"/>
    </row>
    <row r="59" spans="1:17" ht="13.2">
      <c r="A59" s="2081" t="s">
        <v>1787</v>
      </c>
      <c r="B59" s="3330" t="s">
        <v>1813</v>
      </c>
      <c r="C59" s="3319"/>
      <c r="D59" s="2570">
        <v>0</v>
      </c>
      <c r="E59" s="261" t="s">
        <v>1789</v>
      </c>
      <c r="F59" s="235"/>
      <c r="G59" s="2578"/>
      <c r="H59" s="2984"/>
      <c r="I59" s="2984"/>
      <c r="J59" s="2857"/>
      <c r="K59" s="3371">
        <f>IF(AND(K57="",K58=""),4,IF(项目基本情况!I6="上海银行",K58+1,K57+1))</f>
        <v>5</v>
      </c>
      <c r="L59" s="3371" t="s">
        <v>1814</v>
      </c>
      <c r="M59" s="2523" t="s">
        <v>1815</v>
      </c>
      <c r="N59" s="2524"/>
      <c r="O59" s="2525">
        <f>SUMIF(N54:N58,"&lt;9e307")</f>
        <v>0</v>
      </c>
      <c r="P59" s="2526"/>
      <c r="Q59" s="1306" t="e">
        <f>O59/N51</f>
        <v>#VALUE!</v>
      </c>
    </row>
    <row r="60" spans="1:17" ht="25.2">
      <c r="A60" s="2081" t="s">
        <v>1798</v>
      </c>
      <c r="B60" s="3330" t="s">
        <v>1816</v>
      </c>
      <c r="C60" s="3318"/>
      <c r="D60" s="12">
        <f>IF(H60="转让取得",C83,C99)</f>
        <v>0</v>
      </c>
      <c r="E60" s="2091" t="s">
        <v>1811</v>
      </c>
      <c r="F60" s="235" t="s">
        <v>48</v>
      </c>
      <c r="G60" s="2578"/>
      <c r="H60" s="2580" t="s">
        <v>1817</v>
      </c>
      <c r="I60" s="2984"/>
      <c r="J60" s="2857"/>
      <c r="K60" s="3371"/>
      <c r="L60" s="3371"/>
      <c r="M60" s="2523" t="s">
        <v>1818</v>
      </c>
      <c r="N60" s="2527"/>
      <c r="O60" s="2528" t="str">
        <f>IF(H19="元",NUMBERSTRING(INT(O59),2)&amp;"元整",NUMBERSTRING(INT(O59*10000),2)&amp;"元整")</f>
        <v>零元整</v>
      </c>
      <c r="P60" s="2529"/>
    </row>
    <row r="61" spans="1:17" ht="27" thickBot="1">
      <c r="A61" s="3346" t="s">
        <v>1819</v>
      </c>
      <c r="B61" s="3347"/>
      <c r="C61" s="3347"/>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377">
        <f>K59+1</f>
        <v>6</v>
      </c>
      <c r="L61" s="3371" t="s">
        <v>1820</v>
      </c>
      <c r="M61" s="2515" t="s">
        <v>1815</v>
      </c>
      <c r="N61" s="2530"/>
      <c r="O61" s="2531" t="e">
        <f>N51-O59</f>
        <v>#VALUE!</v>
      </c>
      <c r="P61" s="2532"/>
    </row>
    <row r="62" spans="1:17" ht="12" customHeight="1">
      <c r="A62" s="1457"/>
      <c r="B62" s="2565"/>
      <c r="C62" s="2565"/>
      <c r="D62" s="2565"/>
      <c r="E62" s="1457"/>
      <c r="F62" s="2984"/>
      <c r="G62" s="2984"/>
      <c r="H62" s="2979"/>
      <c r="I62" s="947"/>
      <c r="J62" s="2857"/>
      <c r="K62" s="3378"/>
      <c r="L62" s="3371"/>
      <c r="M62" s="2523" t="s">
        <v>1818</v>
      </c>
      <c r="N62" s="2527"/>
      <c r="O62" s="2528" t="e">
        <f>IF(H19="元",NUMBERSTRING(INT(O61),2)&amp;"元整",NUMBERSTRING(INT(O61*10000),2)&amp;"元整")</f>
        <v>#VALUE!</v>
      </c>
      <c r="P62" s="2529"/>
    </row>
    <row r="63" spans="1:17" ht="13.8" thickBot="1">
      <c r="A63" s="3379" t="s">
        <v>1821</v>
      </c>
      <c r="B63" s="3379"/>
      <c r="C63" s="3379"/>
      <c r="D63" s="3379"/>
      <c r="E63" s="3379"/>
      <c r="F63" s="2984"/>
      <c r="G63" s="2984"/>
      <c r="H63" s="2979"/>
      <c r="I63" s="947"/>
      <c r="J63" s="2849"/>
      <c r="K63" s="2515">
        <f>K61+1</f>
        <v>7</v>
      </c>
      <c r="L63" s="3371" t="s">
        <v>1822</v>
      </c>
      <c r="M63" s="3371"/>
      <c r="N63" s="2533"/>
      <c r="O63" s="2534" t="e">
        <f>IF(H19="元",ROUND(O61/项目基本情况!C12,0),ROUND(O61*10000/项目基本情况!C12,0))</f>
        <v>#VALUE!</v>
      </c>
      <c r="P63" s="2535"/>
    </row>
    <row r="64" spans="1:17" ht="13.2">
      <c r="A64" s="3297" t="s">
        <v>1823</v>
      </c>
      <c r="B64" s="3298"/>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367"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36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367"/>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367"/>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36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367"/>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367"/>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384" t="s">
        <v>1843</v>
      </c>
      <c r="B72" s="3385"/>
      <c r="C72" s="3385"/>
      <c r="D72" s="3385"/>
      <c r="E72" s="3385"/>
      <c r="F72" s="3385"/>
      <c r="G72" s="3385"/>
      <c r="H72" s="3385"/>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297" t="s">
        <v>1823</v>
      </c>
      <c r="B73" s="3298"/>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30" t="s">
        <v>1853</v>
      </c>
      <c r="F78" s="3318"/>
      <c r="G78" s="3318"/>
      <c r="H78" s="3331"/>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266" t="s">
        <v>1858</v>
      </c>
      <c r="F80" s="3267"/>
      <c r="G80" s="3267"/>
      <c r="H80" s="3287"/>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384" t="s">
        <v>1862</v>
      </c>
      <c r="B85" s="3385"/>
      <c r="C85" s="3385"/>
      <c r="D85" s="3385"/>
      <c r="E85" s="3385"/>
      <c r="F85" s="3385"/>
      <c r="G85" s="3385"/>
      <c r="H85" s="3385"/>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297" t="s">
        <v>1823</v>
      </c>
      <c r="B86" s="3298"/>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306" t="s">
        <v>2744</v>
      </c>
      <c r="H92" s="3386"/>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66" t="s">
        <v>1870</v>
      </c>
      <c r="F93" s="3267"/>
      <c r="G93" s="3267"/>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66" t="s">
        <v>1873</v>
      </c>
      <c r="F94" s="3267"/>
      <c r="G94" s="3267"/>
      <c r="H94" s="3287"/>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266" t="s">
        <v>1858</v>
      </c>
      <c r="F95" s="3267"/>
      <c r="G95" s="3267"/>
      <c r="H95" s="3287"/>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66" t="s">
        <v>1875</v>
      </c>
      <c r="F96" s="3267"/>
      <c r="G96" s="3267"/>
      <c r="H96" s="3287"/>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284" t="s">
        <v>1877</v>
      </c>
      <c r="B101" s="3285"/>
      <c r="C101" s="3285"/>
      <c r="D101" s="3286"/>
      <c r="E101" s="1461"/>
      <c r="F101" s="3381" t="s">
        <v>2786</v>
      </c>
      <c r="G101" s="3382"/>
      <c r="H101" s="3382"/>
      <c r="I101" s="3383"/>
      <c r="J101" s="2884"/>
    </row>
    <row r="102" spans="1:36" ht="15">
      <c r="A102" s="3301" t="s">
        <v>1879</v>
      </c>
      <c r="B102" s="3302"/>
      <c r="C102" s="2807">
        <f>C4</f>
        <v>0</v>
      </c>
      <c r="D102" s="2808">
        <f>D4</f>
        <v>0</v>
      </c>
      <c r="E102" s="1461"/>
      <c r="F102" s="3303" t="s">
        <v>2787</v>
      </c>
      <c r="G102" s="3305"/>
      <c r="H102" s="3316" t="s">
        <v>2788</v>
      </c>
      <c r="I102" s="3304"/>
      <c r="J102" s="2864"/>
    </row>
    <row r="103" spans="1:36" ht="13.2">
      <c r="A103" s="3387" t="s">
        <v>2782</v>
      </c>
      <c r="B103" s="2308" t="str">
        <f>IF(H19="元","总价（元）","总价（万元）")</f>
        <v>总价（万元）</v>
      </c>
      <c r="C103" s="1307" t="e">
        <f ca="1">C19</f>
        <v>#REF!</v>
      </c>
      <c r="D103" s="2811" t="e">
        <f ca="1">D19</f>
        <v>#REF!</v>
      </c>
      <c r="E103" s="1461"/>
      <c r="F103" s="3388"/>
      <c r="G103" s="3389"/>
      <c r="H103" s="3307">
        <f>典型户型修正!B25</f>
        <v>0</v>
      </c>
      <c r="I103" s="3304"/>
      <c r="J103" s="2864"/>
    </row>
    <row r="104" spans="1:36" ht="13.2">
      <c r="A104" s="3387"/>
      <c r="B104" s="2308" t="s">
        <v>2783</v>
      </c>
      <c r="C104" s="2812" t="e">
        <f ca="1">C20</f>
        <v>#REF!</v>
      </c>
      <c r="D104" s="2813" t="e">
        <f ca="1">D20</f>
        <v>#REF!</v>
      </c>
      <c r="E104" s="1461"/>
      <c r="F104" s="3290" t="s">
        <v>2789</v>
      </c>
      <c r="G104" s="3291"/>
      <c r="H104" s="2821" t="str">
        <f>C110</f>
        <v>总价（万元）</v>
      </c>
      <c r="I104" s="2822">
        <f>H125</f>
        <v>0</v>
      </c>
      <c r="J104" s="2864"/>
    </row>
    <row r="105" spans="1:36" ht="13.2">
      <c r="A105" s="3387" t="s">
        <v>2784</v>
      </c>
      <c r="B105" s="2246" t="str">
        <f>B103</f>
        <v>总价（万元）</v>
      </c>
      <c r="C105" s="12" t="e">
        <f ca="1">ROUND(IF('数据-取费表'!B4="总价",G19,IF(H19="元",G20*'数据-取费表'!E5,G20*'数据-取费表'!E5/10000)),0)</f>
        <v>#REF!</v>
      </c>
      <c r="D105" s="2814"/>
      <c r="E105" s="1461"/>
      <c r="F105" s="3290"/>
      <c r="G105" s="3291"/>
      <c r="H105" s="2821" t="s">
        <v>2790</v>
      </c>
      <c r="I105" s="52" t="e">
        <f>I125</f>
        <v>#DIV/0!</v>
      </c>
      <c r="J105" s="2848"/>
    </row>
    <row r="106" spans="1:36" ht="13.2">
      <c r="A106" s="3387"/>
      <c r="B106" s="2308" t="s">
        <v>2783</v>
      </c>
      <c r="C106" s="1481" t="e">
        <f ca="1">ROUND(IF('数据-取费表'!B4="楼面单价",G20,IF(H19="元",G19/'数据-取费表'!E5,G19*10000/'数据-取费表'!E5)),0)</f>
        <v>#REF!</v>
      </c>
      <c r="D106" s="2814"/>
      <c r="E106" s="1461"/>
      <c r="F106" s="3290"/>
      <c r="G106" s="3291"/>
      <c r="H106" s="3322"/>
      <c r="I106" s="3323"/>
      <c r="J106" s="2865"/>
    </row>
    <row r="107" spans="1:36" ht="13.2">
      <c r="A107" s="3394" t="s">
        <v>2785</v>
      </c>
      <c r="B107" s="2815" t="str">
        <f>B103</f>
        <v>总价（万元）</v>
      </c>
      <c r="C107" s="2816">
        <f>H125</f>
        <v>0</v>
      </c>
      <c r="D107" s="2817"/>
      <c r="E107" s="1461"/>
      <c r="F107" s="3326" t="s">
        <v>2791</v>
      </c>
      <c r="G107" s="3327"/>
      <c r="H107" s="2823" t="str">
        <f>C112</f>
        <v>总额（万元）</v>
      </c>
      <c r="I107" s="2822">
        <f>SUMIF(I108:I110,"&lt;9E307")</f>
        <v>0</v>
      </c>
      <c r="J107" s="2864"/>
    </row>
    <row r="108" spans="1:36" ht="14.4" thickBot="1">
      <c r="A108" s="3321"/>
      <c r="B108" s="2818" t="s">
        <v>2783</v>
      </c>
      <c r="C108" s="2819" t="e">
        <f>I125</f>
        <v>#DIV/0!</v>
      </c>
      <c r="D108" s="2820"/>
      <c r="E108" s="1461"/>
      <c r="F108" s="3292" t="s">
        <v>2792</v>
      </c>
      <c r="G108" s="3293"/>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390" t="s">
        <v>1880</v>
      </c>
      <c r="B109" s="3391"/>
      <c r="C109" s="3391"/>
      <c r="D109" s="3392"/>
      <c r="E109" s="1461"/>
      <c r="F109" s="3292" t="s">
        <v>2793</v>
      </c>
      <c r="G109" s="3293"/>
      <c r="H109" s="2823" t="str">
        <f>C114</f>
        <v>总额（万元）</v>
      </c>
      <c r="I109" s="52">
        <f>C39</f>
        <v>0</v>
      </c>
      <c r="J109" s="2848"/>
    </row>
    <row r="110" spans="1:36" ht="13.2">
      <c r="A110" s="3290" t="s">
        <v>2796</v>
      </c>
      <c r="B110" s="3291"/>
      <c r="C110" s="2821" t="str">
        <f>B103</f>
        <v>总价（万元）</v>
      </c>
      <c r="D110" s="2822">
        <f>H125</f>
        <v>0</v>
      </c>
      <c r="E110" s="1461"/>
      <c r="F110" s="3292" t="s">
        <v>2794</v>
      </c>
      <c r="G110" s="3293"/>
      <c r="H110" s="2823" t="str">
        <f>C115</f>
        <v>总额（万元）</v>
      </c>
      <c r="I110" s="52">
        <f>C40</f>
        <v>0</v>
      </c>
      <c r="J110" s="2848"/>
    </row>
    <row r="111" spans="1:36" ht="13.2">
      <c r="A111" s="3290"/>
      <c r="B111" s="3291"/>
      <c r="C111" s="2821" t="s">
        <v>2797</v>
      </c>
      <c r="D111" s="52" t="e">
        <f>I125</f>
        <v>#DIV/0!</v>
      </c>
      <c r="E111" s="1461"/>
      <c r="F111" s="3290"/>
      <c r="G111" s="3291"/>
      <c r="H111" s="3324"/>
      <c r="I111" s="3325"/>
      <c r="J111" s="2866"/>
    </row>
    <row r="112" spans="1:36" ht="28.5" customHeight="1">
      <c r="A112" s="3361" t="s">
        <v>2791</v>
      </c>
      <c r="B112" s="3362"/>
      <c r="C112" s="2823" t="str">
        <f>IF(H19="元","总额（元）","总额（万元）")</f>
        <v>总额（万元）</v>
      </c>
      <c r="D112" s="2822">
        <f>IF(D38="正常操作",I108+I109+I110,I109+I110)</f>
        <v>0</v>
      </c>
      <c r="E112" s="1461"/>
      <c r="F112" s="3273" t="str">
        <f>IF(项目基本情况!F5="已注销","——","3.房地产抵押价值")</f>
        <v>3.房地产抵押价值</v>
      </c>
      <c r="G112" s="3274"/>
      <c r="H112" s="1481" t="str">
        <f>C116</f>
        <v>总价（万元）</v>
      </c>
      <c r="I112" s="2822">
        <f>IF(F112="——","——",I104-I107)</f>
        <v>0</v>
      </c>
      <c r="J112" s="2864"/>
    </row>
    <row r="113" spans="1:27" ht="13.2">
      <c r="A113" s="3292" t="s">
        <v>2798</v>
      </c>
      <c r="B113" s="3293"/>
      <c r="C113" s="2823" t="str">
        <f>C112</f>
        <v>总额（万元）</v>
      </c>
      <c r="D113" s="52">
        <f>IF(D38="同一抵押权人同一抵押物续贷",C38&amp;"（未扣减，详见特别提示）",C38)</f>
        <v>0</v>
      </c>
      <c r="E113" s="1461"/>
      <c r="F113" s="3275"/>
      <c r="G113" s="3276"/>
      <c r="H113" s="2821" t="s">
        <v>2790</v>
      </c>
      <c r="I113" s="2825" t="e">
        <f>D117</f>
        <v>#DIV/0!</v>
      </c>
      <c r="J113" s="2867"/>
    </row>
    <row r="114" spans="1:27" ht="13.2">
      <c r="A114" s="3292" t="s">
        <v>2799</v>
      </c>
      <c r="B114" s="3293"/>
      <c r="C114" s="2823" t="str">
        <f>C112</f>
        <v>总额（万元）</v>
      </c>
      <c r="D114" s="52">
        <f>C39</f>
        <v>0</v>
      </c>
      <c r="E114" s="1461"/>
      <c r="F114" s="3273" t="str">
        <f>IF(项目基本情况!F5="已注销及未注销","4.抵押担保权已注销时的房地产抵押价值",IF(项目基本情况!F5="已注销","3.抵押担保权已注销时的房地产抵押价值","——"))</f>
        <v>——</v>
      </c>
      <c r="G114" s="3274"/>
      <c r="H114" s="1481" t="str">
        <f>C118</f>
        <v>总价（万元）</v>
      </c>
      <c r="I114" s="2822" t="str">
        <f>IF(F114="——","——",I104-I109-I110)</f>
        <v>——</v>
      </c>
      <c r="J114" s="2864"/>
    </row>
    <row r="115" spans="1:27" ht="13.2">
      <c r="A115" s="3292" t="s">
        <v>2800</v>
      </c>
      <c r="B115" s="3293"/>
      <c r="C115" s="2823" t="str">
        <f>C112</f>
        <v>总额（万元）</v>
      </c>
      <c r="D115" s="52">
        <f>C40</f>
        <v>0</v>
      </c>
      <c r="E115" s="1461"/>
      <c r="F115" s="3275"/>
      <c r="G115" s="3276"/>
      <c r="H115" s="2821" t="s">
        <v>2790</v>
      </c>
      <c r="I115" s="52" t="str">
        <f>D119</f>
        <v>——</v>
      </c>
      <c r="J115" s="2848"/>
    </row>
    <row r="116" spans="1:27" ht="13.2">
      <c r="A116" s="3290" t="str">
        <f>IF(项目基本情况!F5="已注销","——","3.房地产抵押价值")</f>
        <v>3.房地产抵押价值</v>
      </c>
      <c r="B116" s="3291"/>
      <c r="C116" s="2821" t="str">
        <f>B103</f>
        <v>总价（万元）</v>
      </c>
      <c r="D116" s="2822">
        <f>IF(A116="——","——",D110-D112)</f>
        <v>0</v>
      </c>
      <c r="E116" s="1461"/>
      <c r="F116" s="3273" t="str">
        <f>IF(项目基本情况!G5="抵押净值",IF(OR(项目基本情况!F5="已注销",项目基本情况!F5="房地产抵押价值"),"4.抵押净值","5.抵押净值"),"——")</f>
        <v>——</v>
      </c>
      <c r="G116" s="3274"/>
      <c r="H116" s="2821" t="str">
        <f>C120</f>
        <v>总价（万元）</v>
      </c>
      <c r="I116" s="2822" t="str">
        <f>IF(F116="——","——",O61)</f>
        <v>——</v>
      </c>
      <c r="J116" s="2864"/>
    </row>
    <row r="117" spans="1:27" ht="13.8" thickBot="1">
      <c r="A117" s="3290"/>
      <c r="B117" s="3291"/>
      <c r="C117" s="2821" t="s">
        <v>2797</v>
      </c>
      <c r="D117" s="52" t="e">
        <f>ROUND(IF(D116=D110,D111,IF(H19="元",D116/B125,D116*10000/B125)),0)</f>
        <v>#DIV/0!</v>
      </c>
      <c r="E117" s="1461"/>
      <c r="F117" s="3353"/>
      <c r="G117" s="3354"/>
      <c r="H117" s="2826" t="s">
        <v>2790</v>
      </c>
      <c r="I117" s="2810" t="str">
        <f>D121</f>
        <v>——</v>
      </c>
      <c r="J117" s="2848"/>
    </row>
    <row r="118" spans="1:27" ht="15.6">
      <c r="A118" s="3290" t="str">
        <f>IF(项目基本情况!F5="已注销及未注销","4.抵押担保权已注销时的房地产抵押价值",IF(项目基本情况!F5="已注销","3.抵押担保权已注销时的房地产抵押价值","——"))</f>
        <v>——</v>
      </c>
      <c r="B118" s="3291"/>
      <c r="C118" s="2821" t="str">
        <f>B103</f>
        <v>总价（万元）</v>
      </c>
      <c r="D118" s="2822" t="str">
        <f>IF(A118="——","——",D110-D114-D115)</f>
        <v>——</v>
      </c>
      <c r="E118" s="1461"/>
      <c r="F118" s="3268"/>
      <c r="G118" s="3268"/>
      <c r="H118" s="3309"/>
      <c r="I118" s="3309"/>
      <c r="J118" s="2868"/>
      <c r="O118" s="32"/>
      <c r="P118" s="32"/>
    </row>
    <row r="119" spans="1:27" s="1308" customFormat="1" ht="13.2">
      <c r="A119" s="3290"/>
      <c r="B119" s="3291"/>
      <c r="C119" s="2821" t="s">
        <v>2797</v>
      </c>
      <c r="D119" s="52" t="str">
        <f>IF(A118="——","——",IF(H19="元",ROUND(D118/B125,0),ROUND(D118*10000/B125,0)))</f>
        <v>——</v>
      </c>
      <c r="E119" s="1461"/>
      <c r="F119" s="3393" t="str">
        <f>IF(B33="总价","（以上估价结果中楼面单价为总价除以建筑面积得出）","（以上估价结果中总价为楼面单价乘以建筑面积得出）")</f>
        <v>（以上估价结果中总价为楼面单价乘以建筑面积得出）</v>
      </c>
      <c r="G119" s="3393"/>
      <c r="H119" s="3393"/>
      <c r="I119" s="339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90" t="str">
        <f>IF(项目基本情况!G5="抵押净值",IF(OR(项目基本情况!F5="已注销",项目基本情况!F5="房地产抵押价值"),"4.抵押净值","5.抵押净值"),"——")</f>
        <v>——</v>
      </c>
      <c r="B120" s="3291"/>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59"/>
      <c r="B121" s="3360"/>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10" t="s">
        <v>1919</v>
      </c>
      <c r="B122" s="3311"/>
      <c r="C122" s="3311"/>
      <c r="D122" s="3311"/>
      <c r="E122" s="3311"/>
      <c r="F122" s="3311"/>
      <c r="G122" s="3311"/>
      <c r="H122" s="3311"/>
      <c r="I122" s="3311"/>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83" t="s">
        <v>2801</v>
      </c>
      <c r="B123" s="3281" t="s">
        <v>2802</v>
      </c>
      <c r="C123" s="3281" t="s">
        <v>2808</v>
      </c>
      <c r="D123" s="3288" t="s">
        <v>2803</v>
      </c>
      <c r="E123" s="3289"/>
      <c r="F123" s="3279" t="s">
        <v>2809</v>
      </c>
      <c r="G123" s="3279"/>
      <c r="H123" s="3279" t="s">
        <v>2804</v>
      </c>
      <c r="I123" s="328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83"/>
      <c r="B124" s="3282"/>
      <c r="C124" s="3282"/>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83" t="s">
        <v>2807</v>
      </c>
      <c r="B126" s="3279"/>
      <c r="C126" s="3279"/>
      <c r="D126" s="3314" t="str">
        <f>IF(H19="元",NUMBERSTRING(INT(D125),2)&amp;"元整",NUMBERSTRING(INT(D125*10000),2)&amp;"元整")</f>
        <v>零元整</v>
      </c>
      <c r="E126" s="3315"/>
      <c r="F126" s="3314" t="str">
        <f>IF(H19="元",NUMBERSTRING(INT(F125),2)&amp;"元整",NUMBERSTRING(INT(F125*10000),2)&amp;"元整")</f>
        <v>零元整</v>
      </c>
      <c r="G126" s="3315"/>
      <c r="H126" s="3314" t="str">
        <f>IF(H19="元",NUMBERSTRING(INT(H125),2)&amp;"元整",NUMBERSTRING(INT(H125*10000),2)&amp;"元整")</f>
        <v>零元整</v>
      </c>
      <c r="I126" s="3363"/>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03" t="str">
        <f>IF(项目基本情况!D5="房地产市场价值","——",MID(A112,3,LEN(A112)-2))</f>
        <v>——</v>
      </c>
      <c r="B127" s="3316"/>
      <c r="C127" s="3305"/>
      <c r="D127" s="3307">
        <f>I107</f>
        <v>0</v>
      </c>
      <c r="E127" s="3316"/>
      <c r="F127" s="3316"/>
      <c r="G127" s="3316"/>
      <c r="H127" s="3316"/>
      <c r="I127" s="3304"/>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17" t="s">
        <v>2807</v>
      </c>
      <c r="B128" s="3318"/>
      <c r="C128" s="3319"/>
      <c r="D128" s="3355">
        <f>H111</f>
        <v>0</v>
      </c>
      <c r="E128" s="3356"/>
      <c r="F128" s="3356"/>
      <c r="G128" s="3356"/>
      <c r="H128" s="3356"/>
      <c r="I128" s="335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90" t="str">
        <f>IF(项目基本情况!D5="房地产市场价值","——",MID(A116,3,LEN(A116)-2))</f>
        <v>——</v>
      </c>
      <c r="B129" s="3291"/>
      <c r="C129" s="3291"/>
      <c r="D129" s="3307">
        <f>I112</f>
        <v>0</v>
      </c>
      <c r="E129" s="3316"/>
      <c r="F129" s="3316"/>
      <c r="G129" s="3316"/>
      <c r="H129" s="3316"/>
      <c r="I129" s="3304"/>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83" t="s">
        <v>2807</v>
      </c>
      <c r="B130" s="3279"/>
      <c r="C130" s="3279"/>
      <c r="D130" s="3355" t="e">
        <f>I113</f>
        <v>#DIV/0!</v>
      </c>
      <c r="E130" s="3356"/>
      <c r="F130" s="3356"/>
      <c r="G130" s="3356"/>
      <c r="H130" s="3356"/>
      <c r="I130" s="335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90" t="str">
        <f>IF(项目基本情况!D5="房地产市场价值","——",MID(A118,3,LEN(A118)-2))</f>
        <v>——</v>
      </c>
      <c r="B131" s="3291"/>
      <c r="C131" s="3291"/>
      <c r="D131" s="3263" t="str">
        <f>I114</f>
        <v>——</v>
      </c>
      <c r="E131" s="3264"/>
      <c r="F131" s="3264"/>
      <c r="G131" s="3264"/>
      <c r="H131" s="3264"/>
      <c r="I131" s="3265"/>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83" t="s">
        <v>2807</v>
      </c>
      <c r="B132" s="3279"/>
      <c r="C132" s="3330"/>
      <c r="D132" s="3308" t="str">
        <f>I115</f>
        <v>——</v>
      </c>
      <c r="E132" s="3308"/>
      <c r="F132" s="3308"/>
      <c r="G132" s="3308"/>
      <c r="H132" s="3308"/>
      <c r="I132" s="3308"/>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90" t="str">
        <f>IF(项目基本情况!D5="房地产市场价值","——",MID(F116,3,LEN(F116)-2))</f>
        <v>——</v>
      </c>
      <c r="B133" s="3291"/>
      <c r="C133" s="3307"/>
      <c r="D133" s="3358" t="str">
        <f>I116</f>
        <v>——</v>
      </c>
      <c r="E133" s="3358"/>
      <c r="F133" s="3358"/>
      <c r="G133" s="3358"/>
      <c r="H133" s="3358"/>
      <c r="I133" s="3358"/>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46" t="s">
        <v>2807</v>
      </c>
      <c r="B134" s="3347"/>
      <c r="C134" s="3347"/>
      <c r="D134" s="3364">
        <f>H118</f>
        <v>0</v>
      </c>
      <c r="E134" s="3365"/>
      <c r="F134" s="3365"/>
      <c r="G134" s="3365"/>
      <c r="H134" s="3365"/>
      <c r="I134" s="3366"/>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51" t="str">
        <f>IF(B33="总价","（以上估价结果中楼面单价为总价除以建筑面积得出）","（以上估价结果中总价为楼面单价乘以建筑面积得出）")</f>
        <v>（以上估价结果中总价为楼面单价乘以建筑面积得出）</v>
      </c>
      <c r="B136" s="3351"/>
      <c r="C136" s="3351"/>
      <c r="D136" s="3351"/>
      <c r="E136" s="3351"/>
      <c r="F136" s="3351"/>
      <c r="G136" s="3351"/>
      <c r="H136" s="3351"/>
      <c r="I136" s="335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396" t="s">
        <v>1992</v>
      </c>
    </row>
    <row r="43" spans="1:123" ht="13.5" customHeight="1">
      <c r="A43" s="92" t="s">
        <v>1932</v>
      </c>
      <c r="B43" s="93" t="s">
        <v>1961</v>
      </c>
      <c r="C43" s="104" t="e">
        <f ca="1">ROUND(IF('数据-取费表'!B24&lt;=1,C39*F22*'数据-取费表'!B23/2,C39*(POWER((1+F22),'数据-取费表'!B23/2)-1)),0)</f>
        <v>#VALUE!</v>
      </c>
      <c r="D43" s="104"/>
      <c r="E43" s="104"/>
      <c r="F43" s="105"/>
      <c r="G43" s="3397"/>
    </row>
    <row r="44" spans="1:123" ht="13.5" customHeight="1">
      <c r="A44" s="92" t="s">
        <v>1934</v>
      </c>
      <c r="B44" s="93" t="s">
        <v>1963</v>
      </c>
      <c r="C44" s="104" t="e">
        <f ca="1">ROUND(IF('数据-取费表'!B24&lt;=1,C40*F22*'数据-取费表'!B23/2,C40*(POWER((1+F22),'数据-取费表'!B23/2)-1)),4)</f>
        <v>#VALUE!</v>
      </c>
      <c r="D44" s="104"/>
      <c r="E44" s="104"/>
      <c r="F44" s="105"/>
      <c r="G44" s="3398"/>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399" t="s">
        <v>2707</v>
      </c>
      <c r="L54" s="3400"/>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01" t="s">
        <v>1013</v>
      </c>
      <c r="B1" s="3402"/>
      <c r="C1" s="3403"/>
      <c r="D1" s="3404">
        <f>SUM(I10,I15,I20,I21,I23)</f>
        <v>0</v>
      </c>
      <c r="E1" s="3404"/>
      <c r="F1" s="3404"/>
      <c r="G1" s="3404"/>
      <c r="H1" s="3404"/>
      <c r="I1" s="3405"/>
    </row>
    <row r="2" spans="1:9">
      <c r="A2" s="3406" t="s">
        <v>1014</v>
      </c>
      <c r="B2" s="3407" t="s">
        <v>963</v>
      </c>
      <c r="C2" s="3407"/>
      <c r="D2" s="1062" t="s">
        <v>964</v>
      </c>
      <c r="E2" s="1062" t="s">
        <v>965</v>
      </c>
      <c r="F2" s="1062" t="s">
        <v>966</v>
      </c>
      <c r="G2" s="1062" t="s">
        <v>967</v>
      </c>
      <c r="H2" s="1062" t="s">
        <v>968</v>
      </c>
      <c r="I2" s="1063" t="s">
        <v>969</v>
      </c>
    </row>
    <row r="3" spans="1:9">
      <c r="A3" s="3406"/>
      <c r="B3" s="3407" t="s">
        <v>970</v>
      </c>
      <c r="C3" s="3407"/>
      <c r="D3" s="1064"/>
      <c r="E3" s="1062"/>
      <c r="F3" s="1065"/>
      <c r="G3" s="1065"/>
      <c r="H3" s="1066"/>
      <c r="I3" s="1067">
        <f>ROUND(D3*E3*F3*G3*H3/10000,0)</f>
        <v>0</v>
      </c>
    </row>
    <row r="4" spans="1:9">
      <c r="A4" s="3406"/>
      <c r="B4" s="3407" t="s">
        <v>971</v>
      </c>
      <c r="C4" s="3407"/>
      <c r="D4" s="1064"/>
      <c r="E4" s="1062"/>
      <c r="F4" s="1065"/>
      <c r="G4" s="1065"/>
      <c r="H4" s="1066"/>
      <c r="I4" s="1067">
        <f t="shared" ref="I4:I9" si="0">ROUND(D4*E4*F4*G4*H4/10000,0)</f>
        <v>0</v>
      </c>
    </row>
    <row r="5" spans="1:9">
      <c r="A5" s="3406"/>
      <c r="B5" s="3407" t="s">
        <v>972</v>
      </c>
      <c r="C5" s="3407"/>
      <c r="D5" s="1064"/>
      <c r="E5" s="1062"/>
      <c r="F5" s="1065"/>
      <c r="G5" s="1065"/>
      <c r="H5" s="1066"/>
      <c r="I5" s="1067">
        <f t="shared" si="0"/>
        <v>0</v>
      </c>
    </row>
    <row r="6" spans="1:9">
      <c r="A6" s="3406"/>
      <c r="B6" s="3407" t="s">
        <v>973</v>
      </c>
      <c r="C6" s="3407"/>
      <c r="D6" s="1064"/>
      <c r="E6" s="1062"/>
      <c r="F6" s="1065"/>
      <c r="G6" s="1065"/>
      <c r="H6" s="1066"/>
      <c r="I6" s="1067">
        <f t="shared" si="0"/>
        <v>0</v>
      </c>
    </row>
    <row r="7" spans="1:9">
      <c r="A7" s="3406"/>
      <c r="B7" s="3407" t="s">
        <v>974</v>
      </c>
      <c r="C7" s="3407"/>
      <c r="D7" s="1064"/>
      <c r="E7" s="1062"/>
      <c r="F7" s="1065"/>
      <c r="G7" s="1065"/>
      <c r="H7" s="1066"/>
      <c r="I7" s="1067">
        <f t="shared" si="0"/>
        <v>0</v>
      </c>
    </row>
    <row r="8" spans="1:9">
      <c r="A8" s="3406"/>
      <c r="B8" s="3407" t="s">
        <v>975</v>
      </c>
      <c r="C8" s="3407"/>
      <c r="D8" s="1064"/>
      <c r="E8" s="1062"/>
      <c r="F8" s="1065"/>
      <c r="G8" s="1065"/>
      <c r="H8" s="1066"/>
      <c r="I8" s="1067">
        <f t="shared" si="0"/>
        <v>0</v>
      </c>
    </row>
    <row r="9" spans="1:9">
      <c r="A9" s="3406"/>
      <c r="B9" s="3407" t="s">
        <v>976</v>
      </c>
      <c r="C9" s="3407"/>
      <c r="D9" s="1064"/>
      <c r="E9" s="1062"/>
      <c r="F9" s="1065"/>
      <c r="G9" s="1065"/>
      <c r="H9" s="1066"/>
      <c r="I9" s="1067">
        <f t="shared" si="0"/>
        <v>0</v>
      </c>
    </row>
    <row r="10" spans="1:9">
      <c r="A10" s="3406"/>
      <c r="B10" s="3408" t="s">
        <v>977</v>
      </c>
      <c r="C10" s="3408"/>
      <c r="D10" s="1068">
        <v>527</v>
      </c>
      <c r="E10" s="1068" t="e">
        <f>ROUND(D1*10000/D10/H9,0)</f>
        <v>#DIV/0!</v>
      </c>
      <c r="F10" s="1069"/>
      <c r="G10" s="1069"/>
      <c r="H10" s="1070"/>
      <c r="I10" s="1071">
        <f>SUM(I3:I9)</f>
        <v>0</v>
      </c>
    </row>
    <row r="11" spans="1:9" ht="15.6">
      <c r="A11" s="3406" t="s">
        <v>1015</v>
      </c>
      <c r="B11" s="3407" t="s">
        <v>978</v>
      </c>
      <c r="C11" s="3407"/>
      <c r="D11" s="1064" t="s">
        <v>979</v>
      </c>
      <c r="E11" s="1064" t="s">
        <v>980</v>
      </c>
      <c r="F11" s="1065" t="s">
        <v>981</v>
      </c>
      <c r="G11" s="1065" t="s">
        <v>968</v>
      </c>
      <c r="H11" s="1072" t="s">
        <v>982</v>
      </c>
      <c r="I11" s="1063" t="s">
        <v>969</v>
      </c>
    </row>
    <row r="12" spans="1:9">
      <c r="A12" s="3406"/>
      <c r="B12" s="3407" t="s">
        <v>983</v>
      </c>
      <c r="C12" s="3407"/>
      <c r="D12" s="1064"/>
      <c r="E12" s="1064"/>
      <c r="F12" s="1065"/>
      <c r="G12" s="1066"/>
      <c r="H12" s="1073"/>
      <c r="I12" s="1063">
        <f>ROUND(D12*E12*F12*G12/10000,0)</f>
        <v>0</v>
      </c>
    </row>
    <row r="13" spans="1:9">
      <c r="A13" s="3406"/>
      <c r="B13" s="3407" t="s">
        <v>984</v>
      </c>
      <c r="C13" s="3407"/>
      <c r="D13" s="1064"/>
      <c r="E13" s="1064"/>
      <c r="F13" s="1065"/>
      <c r="G13" s="1066"/>
      <c r="H13" s="1073"/>
      <c r="I13" s="1063">
        <f>ROUND(D13*E13*F13*G13/10000,0)</f>
        <v>0</v>
      </c>
    </row>
    <row r="14" spans="1:9">
      <c r="A14" s="3406"/>
      <c r="B14" s="3407" t="s">
        <v>985</v>
      </c>
      <c r="C14" s="3407"/>
      <c r="D14" s="1064"/>
      <c r="E14" s="1064"/>
      <c r="F14" s="1065"/>
      <c r="G14" s="1066"/>
      <c r="H14" s="1073"/>
      <c r="I14" s="1063">
        <f>ROUND(D14*E14*F14*G14/10000,0)</f>
        <v>0</v>
      </c>
    </row>
    <row r="15" spans="1:9">
      <c r="A15" s="3406"/>
      <c r="B15" s="3408" t="s">
        <v>977</v>
      </c>
      <c r="C15" s="3408"/>
      <c r="D15" s="1068"/>
      <c r="E15" s="1068">
        <f>SUM(E12:E14)</f>
        <v>0</v>
      </c>
      <c r="F15" s="1069"/>
      <c r="G15" s="1066"/>
      <c r="H15" s="1073"/>
      <c r="I15" s="1074">
        <f>SUM(I12:I14)</f>
        <v>0</v>
      </c>
    </row>
    <row r="16" spans="1:9" ht="24">
      <c r="A16" s="3406" t="s">
        <v>1016</v>
      </c>
      <c r="B16" s="3407" t="s">
        <v>986</v>
      </c>
      <c r="C16" s="3407"/>
      <c r="D16" s="1064" t="s">
        <v>964</v>
      </c>
      <c r="E16" s="1075" t="s">
        <v>987</v>
      </c>
      <c r="F16" s="1065" t="s">
        <v>988</v>
      </c>
      <c r="G16" s="1066" t="s">
        <v>968</v>
      </c>
      <c r="H16" s="1072" t="s">
        <v>982</v>
      </c>
      <c r="I16" s="1063" t="s">
        <v>969</v>
      </c>
    </row>
    <row r="17" spans="1:9" ht="15.6">
      <c r="A17" s="3406"/>
      <c r="B17" s="3407" t="s">
        <v>989</v>
      </c>
      <c r="C17" s="3407"/>
      <c r="D17" s="1064"/>
      <c r="E17" s="1064"/>
      <c r="F17" s="1065"/>
      <c r="G17" s="1066"/>
      <c r="H17" s="1076"/>
      <c r="I17" s="1077">
        <f>ROUND(D17*E17*F17*G17/10000,0)</f>
        <v>0</v>
      </c>
    </row>
    <row r="18" spans="1:9" ht="15.6">
      <c r="A18" s="3406"/>
      <c r="B18" s="3407" t="s">
        <v>990</v>
      </c>
      <c r="C18" s="3407"/>
      <c r="D18" s="1064"/>
      <c r="E18" s="1064"/>
      <c r="F18" s="1065"/>
      <c r="G18" s="1066"/>
      <c r="H18" s="1076"/>
      <c r="I18" s="1077">
        <f>ROUND(D18*E18*F18*G18/10000,0)</f>
        <v>0</v>
      </c>
    </row>
    <row r="19" spans="1:9" ht="15.6">
      <c r="A19" s="3406"/>
      <c r="B19" s="3407" t="s">
        <v>991</v>
      </c>
      <c r="C19" s="3407"/>
      <c r="D19" s="1064"/>
      <c r="E19" s="1064"/>
      <c r="F19" s="1065"/>
      <c r="G19" s="1066"/>
      <c r="H19" s="1076"/>
      <c r="I19" s="1077">
        <f>ROUND(D19*E19*F19*G19/10000,0)</f>
        <v>0</v>
      </c>
    </row>
    <row r="20" spans="1:9">
      <c r="A20" s="3406"/>
      <c r="B20" s="3408" t="s">
        <v>977</v>
      </c>
      <c r="C20" s="3408"/>
      <c r="D20" s="1068">
        <f>SUM(D17:D19)</f>
        <v>0</v>
      </c>
      <c r="E20" s="1068"/>
      <c r="F20" s="1069"/>
      <c r="G20" s="1066"/>
      <c r="H20" s="1073"/>
      <c r="I20" s="1074">
        <f>SUM(I17:I19)</f>
        <v>0</v>
      </c>
    </row>
    <row r="21" spans="1:9">
      <c r="A21" s="3406" t="s">
        <v>1017</v>
      </c>
      <c r="B21" s="3410"/>
      <c r="C21" s="3410"/>
      <c r="D21" s="3410"/>
      <c r="E21" s="3410"/>
      <c r="F21" s="3410"/>
      <c r="G21" s="3410"/>
      <c r="H21" s="1078">
        <v>0.1</v>
      </c>
      <c r="I21" s="1071">
        <f>ROUND(I10*H21,0)</f>
        <v>0</v>
      </c>
    </row>
    <row r="22" spans="1:9" ht="15.6">
      <c r="A22" s="3411" t="s">
        <v>1018</v>
      </c>
      <c r="B22" s="3412"/>
      <c r="C22" s="3413"/>
      <c r="D22" s="1079" t="s">
        <v>992</v>
      </c>
      <c r="E22" s="1079" t="s">
        <v>993</v>
      </c>
      <c r="F22" s="1080" t="s">
        <v>968</v>
      </c>
      <c r="G22" s="1080" t="s">
        <v>994</v>
      </c>
      <c r="H22" s="1072" t="s">
        <v>982</v>
      </c>
      <c r="I22" s="1063" t="s">
        <v>969</v>
      </c>
    </row>
    <row r="23" spans="1:9" ht="15" thickBot="1">
      <c r="A23" s="3414"/>
      <c r="B23" s="3415"/>
      <c r="C23" s="3416"/>
      <c r="D23" s="1081"/>
      <c r="E23" s="1081"/>
      <c r="F23" s="1081"/>
      <c r="G23" s="1082"/>
      <c r="H23" s="1083"/>
      <c r="I23" s="1084">
        <f>ROUND(E23*D23*F23*(1-G23)/10000,0)</f>
        <v>0</v>
      </c>
    </row>
    <row r="26" spans="1:9">
      <c r="A26" s="1085" t="s">
        <v>995</v>
      </c>
      <c r="B26" s="1085"/>
      <c r="C26" s="1085"/>
      <c r="D26" s="1085"/>
      <c r="E26" s="3417">
        <f>C27-C30-C31-C32</f>
        <v>0</v>
      </c>
      <c r="F26" s="3417"/>
      <c r="G26" s="3417"/>
      <c r="H26" s="1304" t="s">
        <v>1206</v>
      </c>
    </row>
    <row r="27" spans="1:9">
      <c r="A27" s="1086">
        <v>1</v>
      </c>
      <c r="B27" s="1087" t="s">
        <v>996</v>
      </c>
      <c r="C27" s="1087">
        <f>C28+C29</f>
        <v>0</v>
      </c>
      <c r="D27" s="1087"/>
      <c r="E27" s="3418"/>
      <c r="F27" s="3418"/>
      <c r="G27" s="3418"/>
    </row>
    <row r="28" spans="1:9">
      <c r="A28" s="1088" t="s">
        <v>997</v>
      </c>
      <c r="B28" s="1087" t="s">
        <v>998</v>
      </c>
      <c r="C28" s="1087"/>
      <c r="D28" s="1087"/>
      <c r="E28" s="3418"/>
      <c r="F28" s="3418"/>
      <c r="G28" s="341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9"/>
      <c r="F32" s="3409"/>
      <c r="G32" s="3409"/>
    </row>
    <row r="33" spans="1:7" hidden="1">
      <c r="A33" s="3419" t="s">
        <v>1007</v>
      </c>
      <c r="B33" s="3420"/>
      <c r="C33" s="3420"/>
      <c r="D33" s="3421"/>
      <c r="E33" s="3417"/>
      <c r="F33" s="3417"/>
      <c r="G33" s="3417"/>
    </row>
    <row r="34" spans="1:7" hidden="1">
      <c r="A34" s="1090">
        <v>1</v>
      </c>
      <c r="B34" s="1087" t="s">
        <v>1008</v>
      </c>
      <c r="C34" s="1087"/>
      <c r="D34" s="1087"/>
      <c r="E34" s="3418"/>
      <c r="F34" s="3418"/>
      <c r="G34" s="3418"/>
    </row>
    <row r="35" spans="1:7" hidden="1">
      <c r="A35" s="1090">
        <v>2</v>
      </c>
      <c r="B35" s="1087" t="s">
        <v>1009</v>
      </c>
      <c r="C35" s="1087"/>
      <c r="D35" s="1087"/>
      <c r="E35" s="3418"/>
      <c r="F35" s="3418"/>
      <c r="G35" s="3418"/>
    </row>
    <row r="36" spans="1:7" hidden="1">
      <c r="A36" s="1090">
        <v>3</v>
      </c>
      <c r="B36" s="1087" t="s">
        <v>1010</v>
      </c>
      <c r="C36" s="1087"/>
      <c r="D36" s="1087"/>
      <c r="E36" s="3418"/>
      <c r="F36" s="3418"/>
      <c r="G36" s="3418"/>
    </row>
    <row r="37" spans="1:7" hidden="1">
      <c r="A37" s="1090">
        <v>4</v>
      </c>
      <c r="B37" s="1087" t="s">
        <v>1011</v>
      </c>
      <c r="C37" s="1087"/>
      <c r="D37" s="1087"/>
      <c r="E37" s="3418"/>
      <c r="F37" s="3418"/>
      <c r="G37" s="3418"/>
    </row>
    <row r="38" spans="1:7" hidden="1">
      <c r="A38" s="3419" t="s">
        <v>1012</v>
      </c>
      <c r="B38" s="3420"/>
      <c r="C38" s="3420"/>
      <c r="D38" s="3421"/>
      <c r="E38" s="3417"/>
      <c r="F38" s="3417"/>
      <c r="G38" s="34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5" t="s">
        <v>2220</v>
      </c>
      <c r="D4" s="3426"/>
      <c r="E4" s="3426"/>
      <c r="F4" s="3426"/>
      <c r="G4" s="3426"/>
      <c r="H4" s="3426"/>
      <c r="I4" s="3426"/>
      <c r="J4" s="3426"/>
      <c r="K4" s="3426"/>
      <c r="L4" s="3426"/>
      <c r="M4" s="3426"/>
      <c r="N4" s="3426"/>
      <c r="O4" s="3426"/>
      <c r="P4" s="3426"/>
      <c r="Q4" s="3426"/>
      <c r="R4" s="3426"/>
      <c r="S4" s="3427"/>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22" t="s">
        <v>45</v>
      </c>
      <c r="D25" s="3423"/>
      <c r="E25" s="3423"/>
      <c r="F25" s="3423"/>
      <c r="G25" s="3423"/>
      <c r="H25" s="3423"/>
      <c r="I25" s="3423"/>
      <c r="J25" s="3423"/>
      <c r="K25" s="3423"/>
      <c r="L25" s="3423"/>
      <c r="M25" s="3423"/>
      <c r="N25" s="3423"/>
      <c r="O25" s="3423"/>
      <c r="P25" s="3423"/>
      <c r="Q25" s="3424"/>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 zoomScale="85" zoomScaleNormal="70" zoomScaleSheetLayoutView="85" workbookViewId="0">
      <selection activeCell="J40" sqref="J40"/>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54</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31" t="s">
        <v>2254</v>
      </c>
      <c r="D4" s="3432"/>
      <c r="E4" s="3433" t="s">
        <v>2255</v>
      </c>
      <c r="F4" s="3434"/>
      <c r="G4" s="3431" t="s">
        <v>2256</v>
      </c>
      <c r="H4" s="3432"/>
      <c r="I4" s="3431" t="s">
        <v>2257</v>
      </c>
      <c r="J4" s="3432"/>
      <c r="K4" s="1665" t="s">
        <v>2258</v>
      </c>
      <c r="L4" s="2999"/>
      <c r="M4" s="3000"/>
      <c r="N4" s="3000"/>
      <c r="O4" s="3000"/>
      <c r="P4" s="3435" t="s">
        <v>2259</v>
      </c>
      <c r="Q4" s="3436"/>
      <c r="R4" s="3441" t="s">
        <v>2255</v>
      </c>
      <c r="S4" s="3442"/>
      <c r="T4" s="3441" t="s">
        <v>2256</v>
      </c>
      <c r="U4" s="3442"/>
      <c r="V4" s="3447" t="s">
        <v>2257</v>
      </c>
      <c r="W4" s="3447"/>
      <c r="X4" s="1666"/>
      <c r="Y4" s="3441" t="s">
        <v>2259</v>
      </c>
      <c r="Z4" s="3442"/>
      <c r="AA4" s="3428" t="s">
        <v>2255</v>
      </c>
      <c r="AB4" s="3428" t="s">
        <v>2256</v>
      </c>
      <c r="AC4" s="3428" t="s">
        <v>2257</v>
      </c>
    </row>
    <row r="5" spans="1:29" ht="33.75" customHeight="1">
      <c r="A5" s="1668"/>
      <c r="B5" s="1669"/>
      <c r="C5" s="3450" t="s">
        <v>2989</v>
      </c>
      <c r="D5" s="3451"/>
      <c r="E5" s="3448" t="str">
        <f>'sheet1 (2)'!A10</f>
        <v>六营门小区</v>
      </c>
      <c r="F5" s="3449"/>
      <c r="G5" s="3450" t="str">
        <f>'sheet1 (2)'!A19</f>
        <v>梅源里小区</v>
      </c>
      <c r="H5" s="3451"/>
      <c r="I5" s="3450" t="str">
        <f>'sheet1 (2)'!A33</f>
        <v>康乐园</v>
      </c>
      <c r="J5" s="3451"/>
      <c r="K5" s="1670"/>
      <c r="L5" s="2999"/>
      <c r="M5" s="3000"/>
      <c r="N5" s="3000"/>
      <c r="O5" s="3000"/>
      <c r="P5" s="3437"/>
      <c r="Q5" s="3438"/>
      <c r="R5" s="3443"/>
      <c r="S5" s="3444"/>
      <c r="T5" s="3443"/>
      <c r="U5" s="3444"/>
      <c r="V5" s="3447"/>
      <c r="W5" s="3447"/>
      <c r="X5" s="1666"/>
      <c r="Y5" s="3443"/>
      <c r="Z5" s="3444"/>
      <c r="AA5" s="3429"/>
      <c r="AB5" s="3429"/>
      <c r="AC5" s="3429"/>
    </row>
    <row r="6" spans="1:29" ht="17.25" customHeight="1" thickBot="1">
      <c r="A6" s="1671"/>
      <c r="B6" s="1672"/>
      <c r="C6" s="3452" t="s">
        <v>2990</v>
      </c>
      <c r="D6" s="3453"/>
      <c r="E6" s="3454" t="s">
        <v>2264</v>
      </c>
      <c r="F6" s="3455"/>
      <c r="G6" s="3463" t="s">
        <v>2264</v>
      </c>
      <c r="H6" s="3453"/>
      <c r="I6" s="3463" t="s">
        <v>2264</v>
      </c>
      <c r="J6" s="3453"/>
      <c r="K6" s="1670" t="s">
        <v>2265</v>
      </c>
      <c r="L6" s="2999"/>
      <c r="M6" s="3000"/>
      <c r="N6" s="3000"/>
      <c r="O6" s="3000"/>
      <c r="P6" s="3439"/>
      <c r="Q6" s="3440"/>
      <c r="R6" s="3443"/>
      <c r="S6" s="3444"/>
      <c r="T6" s="3445"/>
      <c r="U6" s="3446"/>
      <c r="V6" s="3447"/>
      <c r="W6" s="3447"/>
      <c r="X6" s="1666"/>
      <c r="Y6" s="3445"/>
      <c r="Z6" s="3446"/>
      <c r="AA6" s="3430"/>
      <c r="AB6" s="3430"/>
      <c r="AC6" s="3430"/>
    </row>
    <row r="7" spans="1:29" s="1685" customFormat="1" ht="15" thickBot="1">
      <c r="A7" s="1673" t="s">
        <v>2266</v>
      </c>
      <c r="B7" s="1674"/>
      <c r="C7" s="3568">
        <f>'数据-取费表'!B2</f>
        <v>45513</v>
      </c>
      <c r="D7" s="1676">
        <v>100</v>
      </c>
      <c r="E7" s="3569">
        <f>C7</f>
        <v>45513</v>
      </c>
      <c r="F7" s="1678">
        <f>SUMIF(58:58,YEAR(E7)&amp;"-"&amp;MONTH(E7),59:59)</f>
        <v>100</v>
      </c>
      <c r="G7" s="3569">
        <f>E7</f>
        <v>45513</v>
      </c>
      <c r="H7" s="1676">
        <f>SUMIF(58:58,YEAR(G7)&amp;"-"&amp;MONTH(G7),59:59)</f>
        <v>100</v>
      </c>
      <c r="I7" s="3569">
        <f>E7</f>
        <v>45513</v>
      </c>
      <c r="J7" s="1676">
        <f>SUMIF(58:58,YEAR(I7)&amp;"-"&amp;MONTH(I7),59:59)</f>
        <v>100</v>
      </c>
      <c r="K7" s="1679"/>
      <c r="L7" s="2999"/>
      <c r="M7" s="2972"/>
      <c r="N7" s="2972"/>
      <c r="O7" s="2972"/>
      <c r="P7" s="3464" t="s">
        <v>2267</v>
      </c>
      <c r="Q7" s="3466"/>
      <c r="R7" s="1681" t="s">
        <v>34</v>
      </c>
      <c r="S7" s="1682">
        <f t="shared" ref="S7:S15" si="0">F7</f>
        <v>100</v>
      </c>
      <c r="T7" s="1681" t="s">
        <v>34</v>
      </c>
      <c r="U7" s="1682">
        <f t="shared" ref="U7:U15" si="1">H7</f>
        <v>100</v>
      </c>
      <c r="V7" s="1681" t="s">
        <v>34</v>
      </c>
      <c r="W7" s="1682">
        <f t="shared" ref="W7:W15" si="2">J7</f>
        <v>100</v>
      </c>
      <c r="X7" s="1683"/>
      <c r="Y7" s="3464" t="s">
        <v>2267</v>
      </c>
      <c r="Z7" s="3465"/>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64" t="s">
        <v>2270</v>
      </c>
      <c r="Q8" s="3465"/>
      <c r="R8" s="1681" t="s">
        <v>34</v>
      </c>
      <c r="S8" s="1682">
        <f t="shared" si="0"/>
        <v>100</v>
      </c>
      <c r="T8" s="1681" t="s">
        <v>34</v>
      </c>
      <c r="U8" s="1682">
        <f t="shared" si="1"/>
        <v>100</v>
      </c>
      <c r="V8" s="1681" t="s">
        <v>34</v>
      </c>
      <c r="W8" s="1682">
        <f t="shared" si="2"/>
        <v>100</v>
      </c>
      <c r="X8" s="1683"/>
      <c r="Y8" s="3464" t="s">
        <v>2270</v>
      </c>
      <c r="Z8" s="3465"/>
      <c r="AA8" s="1684">
        <f t="shared" ref="AA8:AA46" si="3">D8/F8</f>
        <v>1</v>
      </c>
      <c r="AB8" s="1684">
        <f t="shared" ref="AB8:AB46" si="4">D8/H8</f>
        <v>1</v>
      </c>
      <c r="AC8" s="1684">
        <f t="shared" ref="AC8:AC46" si="5">D8/J8</f>
        <v>1</v>
      </c>
    </row>
    <row r="9" spans="1:29" s="1685" customFormat="1" ht="15" thickBot="1">
      <c r="A9" s="1636" t="s">
        <v>2271</v>
      </c>
      <c r="B9" s="1688" t="s">
        <v>2272</v>
      </c>
      <c r="C9" s="3152" t="s">
        <v>2959</v>
      </c>
      <c r="D9" s="1689">
        <v>100</v>
      </c>
      <c r="E9" s="1690" t="s">
        <v>2958</v>
      </c>
      <c r="F9" s="1691">
        <f>SUMIF(63:63,E9,64:64)-SUMIF(63:63,C9,64:64)+100</f>
        <v>100</v>
      </c>
      <c r="G9" s="1692" t="s">
        <v>2958</v>
      </c>
      <c r="H9" s="1689">
        <f>SUMIF(63:63,G9,64:64)-SUMIF(63:63,C9,64:64)+100</f>
        <v>100</v>
      </c>
      <c r="I9" s="1692" t="s">
        <v>2958</v>
      </c>
      <c r="J9" s="1689">
        <f>SUMIF(63:63,I9,64:64)-SUMIF(63:63,C9,64:64)+100</f>
        <v>100</v>
      </c>
      <c r="K9" s="1679"/>
      <c r="L9" s="2999"/>
      <c r="M9" s="2972"/>
      <c r="N9" s="2972"/>
      <c r="O9" s="2972"/>
      <c r="P9" s="3467" t="s">
        <v>2273</v>
      </c>
      <c r="Q9" s="1635" t="str">
        <f t="shared" ref="Q9:Q15" si="6">B9</f>
        <v>用途</v>
      </c>
      <c r="R9" s="1681" t="s">
        <v>25</v>
      </c>
      <c r="S9" s="1682">
        <f t="shared" si="0"/>
        <v>100</v>
      </c>
      <c r="T9" s="1681" t="s">
        <v>25</v>
      </c>
      <c r="U9" s="1682">
        <f t="shared" si="1"/>
        <v>100</v>
      </c>
      <c r="V9" s="1681" t="s">
        <v>25</v>
      </c>
      <c r="W9" s="1682">
        <f t="shared" si="2"/>
        <v>100</v>
      </c>
      <c r="X9" s="1683"/>
      <c r="Y9" s="3329" t="s">
        <v>2274</v>
      </c>
      <c r="Z9" s="1693" t="str">
        <f t="shared" ref="Z9:Z15" si="7">Q9</f>
        <v>用途</v>
      </c>
      <c r="AA9" s="1684">
        <f t="shared" si="3"/>
        <v>1</v>
      </c>
      <c r="AB9" s="1684">
        <f t="shared" si="4"/>
        <v>1</v>
      </c>
      <c r="AC9" s="1684">
        <f t="shared" si="5"/>
        <v>1</v>
      </c>
    </row>
    <row r="10" spans="1:29" s="1701" customFormat="1" ht="28.8" hidden="1">
      <c r="A10" s="1694"/>
      <c r="B10" s="1695" t="s">
        <v>2275</v>
      </c>
      <c r="C10" s="1696" t="s">
        <v>2960</v>
      </c>
      <c r="D10" s="1697">
        <v>100</v>
      </c>
      <c r="E10" s="1698" t="s">
        <v>2960</v>
      </c>
      <c r="F10" s="1699">
        <f>SUMIF(65:65,E10,66:66)-SUMIF(65:65,C10,66:66)+100</f>
        <v>100</v>
      </c>
      <c r="G10" s="1696" t="s">
        <v>2960</v>
      </c>
      <c r="H10" s="1697">
        <f>SUMIF(65:65,G10,66:66)-SUMIF(65:65,C10,66:66)+100</f>
        <v>100</v>
      </c>
      <c r="I10" s="1696" t="s">
        <v>2960</v>
      </c>
      <c r="J10" s="1697">
        <f>SUMIF(65:65,I10,66:66)-SUMIF(65:65,C10,66:66)+100</f>
        <v>100</v>
      </c>
      <c r="K10" s="1700"/>
      <c r="L10" s="3001"/>
      <c r="M10" s="3002"/>
      <c r="N10" s="3002"/>
      <c r="O10" s="3002"/>
      <c r="P10" s="3467"/>
      <c r="Q10" s="1635" t="str">
        <f t="shared" si="6"/>
        <v>土地使用年限（年）</v>
      </c>
      <c r="R10" s="1681" t="s">
        <v>25</v>
      </c>
      <c r="S10" s="1682">
        <f t="shared" si="0"/>
        <v>100</v>
      </c>
      <c r="T10" s="1681" t="s">
        <v>25</v>
      </c>
      <c r="U10" s="1682">
        <f t="shared" si="1"/>
        <v>100</v>
      </c>
      <c r="V10" s="1681" t="s">
        <v>25</v>
      </c>
      <c r="W10" s="1682">
        <f t="shared" si="2"/>
        <v>100</v>
      </c>
      <c r="X10" s="1683"/>
      <c r="Y10" s="3329"/>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67"/>
      <c r="Q11" s="1635" t="str">
        <f t="shared" si="6"/>
        <v>容积率</v>
      </c>
      <c r="R11" s="1681" t="s">
        <v>28</v>
      </c>
      <c r="S11" s="1682">
        <f t="shared" si="0"/>
        <v>100</v>
      </c>
      <c r="T11" s="1681" t="s">
        <v>28</v>
      </c>
      <c r="U11" s="1682">
        <f t="shared" si="1"/>
        <v>100</v>
      </c>
      <c r="V11" s="1681" t="s">
        <v>28</v>
      </c>
      <c r="W11" s="1682">
        <f t="shared" si="2"/>
        <v>100</v>
      </c>
      <c r="X11" s="1683"/>
      <c r="Y11" s="3329"/>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67"/>
      <c r="Q12" s="1635">
        <f t="shared" si="6"/>
        <v>111</v>
      </c>
      <c r="R12" s="1681" t="s">
        <v>28</v>
      </c>
      <c r="S12" s="1682">
        <f t="shared" si="0"/>
        <v>100</v>
      </c>
      <c r="T12" s="1681" t="s">
        <v>28</v>
      </c>
      <c r="U12" s="1682">
        <f t="shared" si="1"/>
        <v>100</v>
      </c>
      <c r="V12" s="1681" t="s">
        <v>28</v>
      </c>
      <c r="W12" s="1682">
        <f t="shared" si="2"/>
        <v>100</v>
      </c>
      <c r="X12" s="1683"/>
      <c r="Y12" s="3329"/>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67"/>
      <c r="Q13" s="1635">
        <f t="shared" si="6"/>
        <v>111</v>
      </c>
      <c r="R13" s="1681" t="s">
        <v>28</v>
      </c>
      <c r="S13" s="1682">
        <f t="shared" si="0"/>
        <v>100</v>
      </c>
      <c r="T13" s="1681" t="s">
        <v>28</v>
      </c>
      <c r="U13" s="1682">
        <f t="shared" si="1"/>
        <v>100</v>
      </c>
      <c r="V13" s="1681" t="s">
        <v>28</v>
      </c>
      <c r="W13" s="1682">
        <f t="shared" si="2"/>
        <v>100</v>
      </c>
      <c r="X13" s="1683"/>
      <c r="Y13" s="3329"/>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67"/>
      <c r="Q14" s="1635">
        <f t="shared" si="6"/>
        <v>111</v>
      </c>
      <c r="R14" s="1681" t="s">
        <v>28</v>
      </c>
      <c r="S14" s="1682">
        <f t="shared" si="0"/>
        <v>100</v>
      </c>
      <c r="T14" s="1681" t="s">
        <v>28</v>
      </c>
      <c r="U14" s="1682">
        <f t="shared" si="1"/>
        <v>100</v>
      </c>
      <c r="V14" s="1681" t="s">
        <v>28</v>
      </c>
      <c r="W14" s="1682">
        <f t="shared" si="2"/>
        <v>100</v>
      </c>
      <c r="X14" s="1683"/>
      <c r="Y14" s="3329"/>
      <c r="Z14" s="1693">
        <f t="shared" si="7"/>
        <v>111</v>
      </c>
      <c r="AA14" s="1684">
        <f t="shared" si="3"/>
        <v>1</v>
      </c>
      <c r="AB14" s="1684">
        <f t="shared" si="4"/>
        <v>1</v>
      </c>
      <c r="AC14" s="1684">
        <f t="shared" si="5"/>
        <v>1</v>
      </c>
    </row>
    <row r="15" spans="1:29" ht="74.25" customHeight="1">
      <c r="A15" s="1717" t="s">
        <v>2277</v>
      </c>
      <c r="B15" s="1718" t="s">
        <v>1711</v>
      </c>
      <c r="C15" s="1719" t="str">
        <f>估价对象房地状况!C3</f>
        <v>估价对象周边有颐慧佳园、玲珑花园、玫瑰御园等社区，综合评价居住社区成熟度较好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c r="L15" s="3004"/>
      <c r="M15" s="3000"/>
      <c r="N15" s="3000"/>
      <c r="O15" s="3000"/>
      <c r="P15" s="3470" t="s">
        <v>2278</v>
      </c>
      <c r="Q15" s="1616" t="str">
        <f t="shared" si="6"/>
        <v>居住社区成熟度</v>
      </c>
      <c r="R15" s="1725" t="s">
        <v>28</v>
      </c>
      <c r="S15" s="1726">
        <f t="shared" si="0"/>
        <v>100</v>
      </c>
      <c r="T15" s="1725" t="s">
        <v>28</v>
      </c>
      <c r="U15" s="1726">
        <f t="shared" si="1"/>
        <v>100</v>
      </c>
      <c r="V15" s="1725" t="s">
        <v>28</v>
      </c>
      <c r="W15" s="1726">
        <f t="shared" si="2"/>
        <v>100</v>
      </c>
      <c r="X15" s="1666"/>
      <c r="Y15" s="3456"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4"/>
      <c r="M16" s="3000"/>
      <c r="N16" s="3000"/>
      <c r="O16" s="3000"/>
      <c r="P16" s="3471"/>
      <c r="Q16" s="1616"/>
      <c r="R16" s="1725"/>
      <c r="S16" s="1726"/>
      <c r="T16" s="1725"/>
      <c r="U16" s="1726"/>
      <c r="V16" s="1725"/>
      <c r="W16" s="1726"/>
      <c r="X16" s="1666"/>
      <c r="Y16" s="3457"/>
      <c r="Z16" s="1727"/>
      <c r="AA16" s="1728">
        <v>1</v>
      </c>
      <c r="AB16" s="1728">
        <v>1</v>
      </c>
      <c r="AC16" s="1728">
        <v>1</v>
      </c>
    </row>
    <row r="17" spans="1:29" ht="116.25" customHeight="1">
      <c r="A17" s="1702"/>
      <c r="B17" s="1737" t="s">
        <v>1713</v>
      </c>
      <c r="C17" s="1738" t="str">
        <f>估价对象房地状况!C6</f>
        <v>估价对象周边有专98路、33路、快速直达专线83、481路、507路、632路、85路、40路等多条公交线路，距地铁6号线（慈寿寺）约小于1公里，综合评价交通便捷度较好</v>
      </c>
      <c r="D17" s="1735">
        <v>100</v>
      </c>
      <c r="E17" s="1739"/>
      <c r="F17" s="1740">
        <f>SUMIF(78:78,E18,79:79)-SUMIF(78:78,C18,79:79)+100</f>
        <v>103</v>
      </c>
      <c r="G17" s="1741"/>
      <c r="H17" s="1742">
        <f>SUMIF(78:78,G18,79:79)-SUMIF(78:78,C18,79:79)+100</f>
        <v>103</v>
      </c>
      <c r="I17" s="1739"/>
      <c r="J17" s="1742">
        <f>SUMIF(78:78,I18,79:79)-SUMIF(78:78,C18,79:79)+100</f>
        <v>100</v>
      </c>
      <c r="K17" s="1724">
        <v>3</v>
      </c>
      <c r="L17" s="3004"/>
      <c r="M17" s="3000"/>
      <c r="N17" s="3000"/>
      <c r="O17" s="3000"/>
      <c r="P17" s="3471"/>
      <c r="Q17" s="1616" t="str">
        <f>B17</f>
        <v>交通便捷度</v>
      </c>
      <c r="R17" s="1725" t="s">
        <v>28</v>
      </c>
      <c r="S17" s="1726">
        <f>F17</f>
        <v>103</v>
      </c>
      <c r="T17" s="1725" t="s">
        <v>28</v>
      </c>
      <c r="U17" s="1726">
        <f>H17</f>
        <v>103</v>
      </c>
      <c r="V17" s="1725" t="s">
        <v>28</v>
      </c>
      <c r="W17" s="1726">
        <f>J17</f>
        <v>100</v>
      </c>
      <c r="X17" s="1666"/>
      <c r="Y17" s="3457"/>
      <c r="Z17" s="1727" t="str">
        <f>Q17</f>
        <v>交通便捷度</v>
      </c>
      <c r="AA17" s="1728">
        <f t="shared" si="3"/>
        <v>0.970873786407767</v>
      </c>
      <c r="AB17" s="1728">
        <f t="shared" si="4"/>
        <v>0.970873786407767</v>
      </c>
      <c r="AC17" s="1728">
        <f t="shared" si="5"/>
        <v>1</v>
      </c>
    </row>
    <row r="18" spans="1:29" ht="15">
      <c r="A18" s="1702"/>
      <c r="B18" s="1743"/>
      <c r="C18" s="1744" t="s">
        <v>31</v>
      </c>
      <c r="D18" s="1735"/>
      <c r="E18" s="1745" t="s">
        <v>30</v>
      </c>
      <c r="F18" s="1740"/>
      <c r="G18" s="1746" t="s">
        <v>30</v>
      </c>
      <c r="H18" s="1731"/>
      <c r="I18" s="1745" t="s">
        <v>31</v>
      </c>
      <c r="J18" s="1731"/>
      <c r="K18" s="1736"/>
      <c r="L18" s="3004"/>
      <c r="M18" s="3000"/>
      <c r="N18" s="3000"/>
      <c r="O18" s="3000"/>
      <c r="P18" s="3471"/>
      <c r="Q18" s="1616"/>
      <c r="R18" s="1725"/>
      <c r="S18" s="1726"/>
      <c r="T18" s="1725"/>
      <c r="U18" s="1726"/>
      <c r="V18" s="1725"/>
      <c r="W18" s="1726"/>
      <c r="X18" s="1666"/>
      <c r="Y18" s="3457"/>
      <c r="Z18" s="1727"/>
      <c r="AA18" s="1728">
        <v>1</v>
      </c>
      <c r="AB18" s="1728">
        <v>1</v>
      </c>
      <c r="AC18" s="1728">
        <v>1</v>
      </c>
    </row>
    <row r="19" spans="1:29" ht="41.4">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71"/>
      <c r="Q19" s="1616" t="str">
        <f>B19</f>
        <v>公共配套设施</v>
      </c>
      <c r="R19" s="1725" t="s">
        <v>28</v>
      </c>
      <c r="S19" s="1726">
        <f>F19</f>
        <v>100</v>
      </c>
      <c r="T19" s="1725" t="s">
        <v>28</v>
      </c>
      <c r="U19" s="1726">
        <f>H19</f>
        <v>100</v>
      </c>
      <c r="V19" s="1725" t="s">
        <v>28</v>
      </c>
      <c r="W19" s="1726">
        <f>J19</f>
        <v>100</v>
      </c>
      <c r="X19" s="1666"/>
      <c r="Y19" s="3457"/>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71"/>
      <c r="Q20" s="1616"/>
      <c r="R20" s="1725"/>
      <c r="S20" s="1726"/>
      <c r="T20" s="1725"/>
      <c r="U20" s="1726"/>
      <c r="V20" s="1725"/>
      <c r="W20" s="1726"/>
      <c r="X20" s="1666"/>
      <c r="Y20" s="3457"/>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2</v>
      </c>
      <c r="L21" s="3004"/>
      <c r="M21" s="3000"/>
      <c r="N21" s="3000"/>
      <c r="O21" s="3000"/>
      <c r="P21" s="3471"/>
      <c r="Q21" s="1616" t="str">
        <f>B21</f>
        <v>基础设施水平</v>
      </c>
      <c r="R21" s="1725" t="s">
        <v>28</v>
      </c>
      <c r="S21" s="1726">
        <f>F21</f>
        <v>100</v>
      </c>
      <c r="T21" s="1725" t="s">
        <v>28</v>
      </c>
      <c r="U21" s="1726">
        <f>H21</f>
        <v>100</v>
      </c>
      <c r="V21" s="1725" t="s">
        <v>28</v>
      </c>
      <c r="W21" s="1726">
        <f>J21</f>
        <v>100</v>
      </c>
      <c r="X21" s="1666"/>
      <c r="Y21" s="3457"/>
      <c r="Z21" s="1727" t="str">
        <f>Q21</f>
        <v>基础设施水平</v>
      </c>
      <c r="AA21" s="1728">
        <f t="shared" ref="AA21" si="8">D21/F21</f>
        <v>1</v>
      </c>
      <c r="AB21" s="1728">
        <f t="shared" ref="AB21" si="9">D21/H21</f>
        <v>1</v>
      </c>
      <c r="AC21" s="1728">
        <f t="shared" ref="AC21" si="10">D21/J21</f>
        <v>1</v>
      </c>
    </row>
    <row r="22" spans="1:29" ht="15">
      <c r="A22" s="1702"/>
      <c r="B22" s="1750"/>
      <c r="C22" s="1744" t="s">
        <v>2906</v>
      </c>
      <c r="D22" s="1731"/>
      <c r="E22" s="1730" t="s">
        <v>2906</v>
      </c>
      <c r="F22" s="1733"/>
      <c r="G22" s="1730" t="s">
        <v>2906</v>
      </c>
      <c r="H22" s="1731"/>
      <c r="I22" s="1730" t="s">
        <v>2906</v>
      </c>
      <c r="J22" s="1731"/>
      <c r="K22" s="1751"/>
      <c r="L22" s="3004"/>
      <c r="M22" s="3000"/>
      <c r="N22" s="3000"/>
      <c r="O22" s="3000"/>
      <c r="P22" s="3471"/>
      <c r="Q22" s="1616"/>
      <c r="R22" s="1725"/>
      <c r="S22" s="1726"/>
      <c r="T22" s="1725"/>
      <c r="U22" s="1726"/>
      <c r="V22" s="1725"/>
      <c r="W22" s="1726"/>
      <c r="X22" s="1666"/>
      <c r="Y22" s="3457"/>
      <c r="Z22" s="1727"/>
      <c r="AA22" s="1728">
        <v>1</v>
      </c>
      <c r="AB22" s="1728">
        <v>1</v>
      </c>
      <c r="AC22" s="1728">
        <v>1</v>
      </c>
    </row>
    <row r="23" spans="1:29" ht="82.5" customHeight="1">
      <c r="A23" s="1702"/>
      <c r="B23" s="1737" t="s">
        <v>1715</v>
      </c>
      <c r="C23" s="1738" t="str">
        <f>估价对象房地状况!C9</f>
        <v>区域自然环境：玲珑公园、京密引水渠；人文环境：宝联体育公园等；综合评价环境状况较好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v>2</v>
      </c>
      <c r="L23" s="3004"/>
      <c r="M23" s="3000"/>
      <c r="N23" s="3000"/>
      <c r="O23" s="3000"/>
      <c r="P23" s="3471"/>
      <c r="Q23" s="1616" t="str">
        <f>B23</f>
        <v>自然及人文环境</v>
      </c>
      <c r="R23" s="1725" t="s">
        <v>28</v>
      </c>
      <c r="S23" s="1726">
        <f>F23</f>
        <v>100</v>
      </c>
      <c r="T23" s="1725" t="s">
        <v>28</v>
      </c>
      <c r="U23" s="1726">
        <f>H23</f>
        <v>100</v>
      </c>
      <c r="V23" s="1725" t="s">
        <v>28</v>
      </c>
      <c r="W23" s="1726">
        <f>J23</f>
        <v>100</v>
      </c>
      <c r="X23" s="1666"/>
      <c r="Y23" s="3457"/>
      <c r="Z23" s="1727" t="str">
        <f>Q23</f>
        <v>自然及人文环境</v>
      </c>
      <c r="AA23" s="1728">
        <f t="shared" si="3"/>
        <v>1</v>
      </c>
      <c r="AB23" s="1728">
        <f t="shared" si="4"/>
        <v>1</v>
      </c>
      <c r="AC23" s="1728">
        <f t="shared" si="5"/>
        <v>1</v>
      </c>
    </row>
    <row r="24" spans="1:29" ht="15.6" thickBot="1">
      <c r="A24" s="1702"/>
      <c r="B24" s="1743"/>
      <c r="C24" s="1730" t="s">
        <v>30</v>
      </c>
      <c r="D24" s="1731"/>
      <c r="E24" s="1732" t="s">
        <v>30</v>
      </c>
      <c r="F24" s="1733"/>
      <c r="G24" s="1734" t="s">
        <v>30</v>
      </c>
      <c r="H24" s="1731"/>
      <c r="I24" s="1732" t="s">
        <v>30</v>
      </c>
      <c r="J24" s="1731"/>
      <c r="K24" s="1736"/>
      <c r="L24" s="3004"/>
      <c r="M24" s="3000"/>
      <c r="N24" s="3000"/>
      <c r="O24" s="3000"/>
      <c r="P24" s="3471"/>
      <c r="Q24" s="1616"/>
      <c r="R24" s="1725"/>
      <c r="S24" s="1726"/>
      <c r="T24" s="1725"/>
      <c r="U24" s="1726"/>
      <c r="V24" s="1725"/>
      <c r="W24" s="1726"/>
      <c r="X24" s="1666"/>
      <c r="Y24" s="3457"/>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71"/>
      <c r="Q25" s="1616" t="str">
        <f t="shared" ref="Q25:Q46" si="11">B25</f>
        <v>楼层-1</v>
      </c>
      <c r="R25" s="1725" t="s">
        <v>28</v>
      </c>
      <c r="S25" s="1726">
        <f>F25</f>
        <v>100</v>
      </c>
      <c r="T25" s="1725" t="s">
        <v>28</v>
      </c>
      <c r="U25" s="1726">
        <f>H25</f>
        <v>100</v>
      </c>
      <c r="V25" s="1725" t="s">
        <v>28</v>
      </c>
      <c r="W25" s="1726">
        <f>J25</f>
        <v>100</v>
      </c>
      <c r="X25" s="1666"/>
      <c r="Y25" s="3457"/>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71"/>
      <c r="Q26" s="1616" t="str">
        <f t="shared" si="11"/>
        <v>朝向</v>
      </c>
      <c r="R26" s="1725" t="s">
        <v>28</v>
      </c>
      <c r="S26" s="1726">
        <f>F26</f>
        <v>100</v>
      </c>
      <c r="T26" s="1725" t="s">
        <v>28</v>
      </c>
      <c r="U26" s="1726">
        <f>H26</f>
        <v>100</v>
      </c>
      <c r="V26" s="1725" t="s">
        <v>28</v>
      </c>
      <c r="W26" s="1726">
        <f>J26</f>
        <v>100</v>
      </c>
      <c r="X26" s="1666"/>
      <c r="Y26" s="3457"/>
      <c r="Z26" s="1727" t="str">
        <f>Q26</f>
        <v>朝向</v>
      </c>
      <c r="AA26" s="1728">
        <f t="shared" si="3"/>
        <v>1</v>
      </c>
      <c r="AB26" s="1728">
        <f t="shared" si="4"/>
        <v>1</v>
      </c>
      <c r="AC26" s="1728">
        <f t="shared" si="5"/>
        <v>1</v>
      </c>
    </row>
    <row r="27" spans="1:29" s="1685" customFormat="1" ht="15.6" hidden="1" thickBot="1">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9"/>
      <c r="M27" s="2972"/>
      <c r="N27" s="2972"/>
      <c r="O27" s="2972"/>
      <c r="P27" s="3471"/>
      <c r="Q27" s="1635" t="str">
        <f t="shared" si="11"/>
        <v>道路级别</v>
      </c>
      <c r="R27" s="1681" t="s">
        <v>28</v>
      </c>
      <c r="S27" s="1682">
        <f>F27</f>
        <v>100</v>
      </c>
      <c r="T27" s="1681" t="s">
        <v>28</v>
      </c>
      <c r="U27" s="1682">
        <f>H27</f>
        <v>100</v>
      </c>
      <c r="V27" s="1681" t="s">
        <v>28</v>
      </c>
      <c r="W27" s="1682">
        <f>J27</f>
        <v>100</v>
      </c>
      <c r="X27" s="1683"/>
      <c r="Y27" s="3457"/>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71"/>
      <c r="Q28" s="1616">
        <f t="shared" si="11"/>
        <v>111</v>
      </c>
      <c r="R28" s="1725" t="s">
        <v>28</v>
      </c>
      <c r="S28" s="1726">
        <f t="shared" ref="S28:S46" si="12">F28</f>
        <v>100</v>
      </c>
      <c r="T28" s="1725" t="s">
        <v>28</v>
      </c>
      <c r="U28" s="1726">
        <f t="shared" ref="U28:U46" si="13">H28</f>
        <v>100</v>
      </c>
      <c r="V28" s="1725" t="s">
        <v>28</v>
      </c>
      <c r="W28" s="1726">
        <f t="shared" ref="W28:W46" si="14">J28</f>
        <v>100</v>
      </c>
      <c r="X28" s="1666"/>
      <c r="Y28" s="3457"/>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71"/>
      <c r="Q29" s="1616">
        <f t="shared" si="11"/>
        <v>111</v>
      </c>
      <c r="R29" s="1725" t="s">
        <v>28</v>
      </c>
      <c r="S29" s="1726">
        <f t="shared" si="12"/>
        <v>100</v>
      </c>
      <c r="T29" s="1725" t="s">
        <v>28</v>
      </c>
      <c r="U29" s="1726">
        <f t="shared" si="13"/>
        <v>100</v>
      </c>
      <c r="V29" s="1725" t="s">
        <v>28</v>
      </c>
      <c r="W29" s="1726">
        <f t="shared" si="14"/>
        <v>100</v>
      </c>
      <c r="X29" s="1666"/>
      <c r="Y29" s="3457"/>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71"/>
      <c r="Q30" s="1616">
        <f t="shared" si="11"/>
        <v>111</v>
      </c>
      <c r="R30" s="1725" t="s">
        <v>28</v>
      </c>
      <c r="S30" s="1726">
        <f t="shared" si="12"/>
        <v>100</v>
      </c>
      <c r="T30" s="1725" t="s">
        <v>28</v>
      </c>
      <c r="U30" s="1726">
        <f t="shared" si="13"/>
        <v>100</v>
      </c>
      <c r="V30" s="1725" t="s">
        <v>28</v>
      </c>
      <c r="W30" s="1726">
        <f t="shared" si="14"/>
        <v>100</v>
      </c>
      <c r="X30" s="1666"/>
      <c r="Y30" s="3457"/>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71"/>
      <c r="Q31" s="1616">
        <f t="shared" si="11"/>
        <v>111</v>
      </c>
      <c r="R31" s="1725" t="s">
        <v>28</v>
      </c>
      <c r="S31" s="1726">
        <f t="shared" si="12"/>
        <v>100</v>
      </c>
      <c r="T31" s="1725" t="s">
        <v>28</v>
      </c>
      <c r="U31" s="1726">
        <f t="shared" si="13"/>
        <v>100</v>
      </c>
      <c r="V31" s="1725" t="s">
        <v>28</v>
      </c>
      <c r="W31" s="1726">
        <f t="shared" si="14"/>
        <v>100</v>
      </c>
      <c r="X31" s="1666"/>
      <c r="Y31" s="3457"/>
      <c r="Z31" s="1727">
        <f t="shared" si="15"/>
        <v>111</v>
      </c>
      <c r="AA31" s="1728">
        <f t="shared" si="3"/>
        <v>1</v>
      </c>
      <c r="AB31" s="1728">
        <f t="shared" si="4"/>
        <v>1</v>
      </c>
      <c r="AC31" s="1728">
        <f t="shared" si="5"/>
        <v>1</v>
      </c>
    </row>
    <row r="32" spans="1:29" ht="15">
      <c r="A32" s="1717" t="s">
        <v>2282</v>
      </c>
      <c r="B32" s="1688" t="s">
        <v>2283</v>
      </c>
      <c r="C32" s="1761" t="s">
        <v>2968</v>
      </c>
      <c r="D32" s="1762">
        <v>100</v>
      </c>
      <c r="E32" s="1763" t="s">
        <v>2968</v>
      </c>
      <c r="F32" s="1754">
        <f>SUMIF(100:100,E32,101:101)-SUMIF(100:100,C32,101:101)+100</f>
        <v>100</v>
      </c>
      <c r="G32" s="1761" t="s">
        <v>2979</v>
      </c>
      <c r="H32" s="1762">
        <f>SUMIF(100:100,G32,101:101)-SUMIF(100:100,C32,101:101)+100</f>
        <v>98</v>
      </c>
      <c r="I32" s="1763" t="s">
        <v>2968</v>
      </c>
      <c r="J32" s="1711">
        <f>SUMIF(100:100,I32,101:101)-SUMIF(100:100,C32,101:101)+100</f>
        <v>100</v>
      </c>
      <c r="K32" s="1700">
        <v>1</v>
      </c>
      <c r="L32" s="3004"/>
      <c r="M32" s="3000"/>
      <c r="N32" s="3000"/>
      <c r="O32" s="3000"/>
      <c r="P32" s="3458" t="s">
        <v>2284</v>
      </c>
      <c r="Q32" s="1616" t="str">
        <f t="shared" si="11"/>
        <v>建筑类型</v>
      </c>
      <c r="R32" s="1725" t="s">
        <v>28</v>
      </c>
      <c r="S32" s="1726">
        <f t="shared" si="12"/>
        <v>100</v>
      </c>
      <c r="T32" s="1725" t="s">
        <v>28</v>
      </c>
      <c r="U32" s="1726">
        <f t="shared" si="13"/>
        <v>98</v>
      </c>
      <c r="V32" s="1725" t="s">
        <v>28</v>
      </c>
      <c r="W32" s="1726">
        <f t="shared" si="14"/>
        <v>100</v>
      </c>
      <c r="X32" s="1666"/>
      <c r="Y32" s="3461" t="s">
        <v>2284</v>
      </c>
      <c r="Z32" s="1727" t="str">
        <f t="shared" si="15"/>
        <v>建筑类型</v>
      </c>
      <c r="AA32" s="1728">
        <f t="shared" si="3"/>
        <v>1</v>
      </c>
      <c r="AB32" s="1728">
        <f t="shared" si="4"/>
        <v>1.0204081632653061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59"/>
      <c r="Q33" s="1766" t="str">
        <f t="shared" si="11"/>
        <v>项目建筑规模</v>
      </c>
      <c r="R33" s="1767" t="s">
        <v>28</v>
      </c>
      <c r="S33" s="1768">
        <f t="shared" si="12"/>
        <v>100</v>
      </c>
      <c r="T33" s="1767" t="s">
        <v>28</v>
      </c>
      <c r="U33" s="1768">
        <f t="shared" si="13"/>
        <v>100</v>
      </c>
      <c r="V33" s="1767" t="s">
        <v>28</v>
      </c>
      <c r="W33" s="1768">
        <f t="shared" si="14"/>
        <v>100</v>
      </c>
      <c r="X33" s="1769"/>
      <c r="Y33" s="3461"/>
      <c r="Z33" s="1770" t="str">
        <f t="shared" si="15"/>
        <v>项目建筑规模</v>
      </c>
      <c r="AA33" s="1728">
        <f t="shared" si="3"/>
        <v>1</v>
      </c>
      <c r="AB33" s="1728">
        <f t="shared" si="4"/>
        <v>1</v>
      </c>
      <c r="AC33" s="1728">
        <f t="shared" si="5"/>
        <v>1</v>
      </c>
    </row>
    <row r="34" spans="1:29" ht="15">
      <c r="A34" s="1772"/>
      <c r="B34" s="1695" t="s">
        <v>2286</v>
      </c>
      <c r="C34" s="1773" t="s">
        <v>3028</v>
      </c>
      <c r="D34" s="1711">
        <v>100</v>
      </c>
      <c r="E34" s="1774" t="s">
        <v>3028</v>
      </c>
      <c r="F34" s="1754">
        <f>SUMIF(105:105,E34,106:106)-SUMIF(105:105,C34,106:106)+100</f>
        <v>100</v>
      </c>
      <c r="G34" s="1773" t="s">
        <v>2980</v>
      </c>
      <c r="H34" s="1711">
        <f>SUMIF(105:105,G34,106:106)-SUMIF(105:105,C34,106:106)+100</f>
        <v>104</v>
      </c>
      <c r="I34" s="1774" t="s">
        <v>3028</v>
      </c>
      <c r="J34" s="1711">
        <f>SUMIF(105:105,I34,106:106)-SUMIF(105:105,C34,106:106)+100</f>
        <v>100</v>
      </c>
      <c r="K34" s="1700">
        <v>4</v>
      </c>
      <c r="L34" s="3004"/>
      <c r="M34" s="3000"/>
      <c r="N34" s="3000"/>
      <c r="O34" s="3000"/>
      <c r="P34" s="3459"/>
      <c r="Q34" s="1616" t="str">
        <f t="shared" si="11"/>
        <v>建筑结构</v>
      </c>
      <c r="R34" s="1725" t="s">
        <v>28</v>
      </c>
      <c r="S34" s="1726">
        <f t="shared" si="12"/>
        <v>100</v>
      </c>
      <c r="T34" s="1725" t="s">
        <v>28</v>
      </c>
      <c r="U34" s="1726">
        <f t="shared" si="13"/>
        <v>104</v>
      </c>
      <c r="V34" s="1725" t="s">
        <v>28</v>
      </c>
      <c r="W34" s="1726">
        <f t="shared" si="14"/>
        <v>100</v>
      </c>
      <c r="X34" s="1666"/>
      <c r="Y34" s="3461"/>
      <c r="Z34" s="1727" t="str">
        <f t="shared" si="15"/>
        <v>建筑结构</v>
      </c>
      <c r="AA34" s="1728">
        <f t="shared" si="3"/>
        <v>1</v>
      </c>
      <c r="AB34" s="1728">
        <f t="shared" si="4"/>
        <v>0.96153846153846156</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59"/>
      <c r="Q35" s="1616" t="str">
        <f t="shared" si="11"/>
        <v>建筑品质</v>
      </c>
      <c r="R35" s="1725" t="s">
        <v>28</v>
      </c>
      <c r="S35" s="1726">
        <f t="shared" si="12"/>
        <v>100</v>
      </c>
      <c r="T35" s="1725" t="s">
        <v>28</v>
      </c>
      <c r="U35" s="1726">
        <f t="shared" si="13"/>
        <v>100</v>
      </c>
      <c r="V35" s="1725" t="s">
        <v>28</v>
      </c>
      <c r="W35" s="1726">
        <f t="shared" si="14"/>
        <v>100</v>
      </c>
      <c r="X35" s="1666"/>
      <c r="Y35" s="3461"/>
      <c r="Z35" s="1727" t="str">
        <f t="shared" si="15"/>
        <v>建筑品质</v>
      </c>
      <c r="AA35" s="1728">
        <f t="shared" si="3"/>
        <v>1</v>
      </c>
      <c r="AB35" s="1728">
        <f t="shared" si="4"/>
        <v>1</v>
      </c>
      <c r="AC35" s="1728">
        <f t="shared" si="5"/>
        <v>1</v>
      </c>
    </row>
    <row r="36" spans="1:29" ht="15" hidden="1">
      <c r="A36" s="1772"/>
      <c r="B36" s="1695" t="s">
        <v>2288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4"/>
      <c r="M36" s="3000"/>
      <c r="N36" s="3000"/>
      <c r="O36" s="3000"/>
      <c r="P36" s="3459"/>
      <c r="Q36" s="1616" t="str">
        <f t="shared" si="11"/>
        <v>公共部分装修</v>
      </c>
      <c r="R36" s="1725" t="s">
        <v>28</v>
      </c>
      <c r="S36" s="1726">
        <f t="shared" si="12"/>
        <v>100</v>
      </c>
      <c r="T36" s="1725" t="s">
        <v>28</v>
      </c>
      <c r="U36" s="1726">
        <f t="shared" si="13"/>
        <v>100</v>
      </c>
      <c r="V36" s="1725" t="s">
        <v>28</v>
      </c>
      <c r="W36" s="1726">
        <f t="shared" si="14"/>
        <v>100</v>
      </c>
      <c r="X36" s="1666"/>
      <c r="Y36" s="3461"/>
      <c r="Z36" s="1727" t="str">
        <f t="shared" si="15"/>
        <v>公共部分装修</v>
      </c>
      <c r="AA36" s="1728">
        <f t="shared" si="3"/>
        <v>1</v>
      </c>
      <c r="AB36" s="1728">
        <f t="shared" si="4"/>
        <v>1</v>
      </c>
      <c r="AC36" s="1728">
        <f t="shared" si="5"/>
        <v>1</v>
      </c>
    </row>
    <row r="37" spans="1:29" s="1685" customFormat="1" ht="15" hidden="1">
      <c r="A37" s="1775"/>
      <c r="B37" s="1695" t="s">
        <v>2289</v>
      </c>
      <c r="C37" s="1776">
        <v>1</v>
      </c>
      <c r="D37" s="1697">
        <v>100</v>
      </c>
      <c r="E37" s="1777">
        <f>C37</f>
        <v>1</v>
      </c>
      <c r="F37" s="1699">
        <f>LOOKUP(E37,112:112,113:113)-LOOKUP(C37,112:112,113:113)+100</f>
        <v>100</v>
      </c>
      <c r="G37" s="1778">
        <f>C37</f>
        <v>1</v>
      </c>
      <c r="H37" s="1697">
        <f>LOOKUP(G37,112:112,113:113)-LOOKUP(C37,112:112,113:113)+100</f>
        <v>100</v>
      </c>
      <c r="I37" s="1777">
        <f>C37</f>
        <v>1</v>
      </c>
      <c r="J37" s="1697">
        <f>LOOKUP(I37,112:112,113:113)-LOOKUP(C37,112:112,113:113)+100</f>
        <v>100</v>
      </c>
      <c r="K37" s="1700"/>
      <c r="L37" s="2999"/>
      <c r="M37" s="2972"/>
      <c r="N37" s="2972"/>
      <c r="O37" s="2972"/>
      <c r="P37" s="3459"/>
      <c r="Q37" s="1635" t="str">
        <f t="shared" si="11"/>
        <v>成新度</v>
      </c>
      <c r="R37" s="1681" t="s">
        <v>28</v>
      </c>
      <c r="S37" s="1682">
        <f t="shared" si="12"/>
        <v>100</v>
      </c>
      <c r="T37" s="1681" t="s">
        <v>28</v>
      </c>
      <c r="U37" s="1682">
        <f t="shared" si="13"/>
        <v>100</v>
      </c>
      <c r="V37" s="1681" t="s">
        <v>28</v>
      </c>
      <c r="W37" s="1682">
        <f t="shared" si="14"/>
        <v>100</v>
      </c>
      <c r="X37" s="1683"/>
      <c r="Y37" s="3461"/>
      <c r="Z37" s="1693" t="str">
        <f t="shared" si="15"/>
        <v>成新度</v>
      </c>
      <c r="AA37" s="1684">
        <f t="shared" si="3"/>
        <v>1</v>
      </c>
      <c r="AB37" s="1684">
        <f t="shared" si="4"/>
        <v>1</v>
      </c>
      <c r="AC37" s="1684">
        <f t="shared" si="5"/>
        <v>1</v>
      </c>
    </row>
    <row r="38" spans="1:29" ht="15">
      <c r="A38" s="1772"/>
      <c r="B38" s="1695" t="s">
        <v>2290</v>
      </c>
      <c r="C38" s="1755" t="s">
        <v>2950</v>
      </c>
      <c r="D38" s="1711">
        <v>100</v>
      </c>
      <c r="E38" s="1753" t="s">
        <v>2950</v>
      </c>
      <c r="F38" s="1754">
        <f>SUMIF(114:114,E38,115:115)-SUMIF(114:114,C38,115:115)+100</f>
        <v>100</v>
      </c>
      <c r="G38" s="1755" t="s">
        <v>2950</v>
      </c>
      <c r="H38" s="1711">
        <f>SUMIF(114:114,G38,115:115)-SUMIF(114:114,C38,115:115)+100</f>
        <v>100</v>
      </c>
      <c r="I38" s="1753" t="s">
        <v>2950</v>
      </c>
      <c r="J38" s="1711">
        <f>SUMIF(114:114,I38,115:115)-SUMIF(114:114,C38,115:115)+100</f>
        <v>100</v>
      </c>
      <c r="K38" s="1700">
        <v>2</v>
      </c>
      <c r="L38" s="3004"/>
      <c r="M38" s="3000"/>
      <c r="N38" s="3000"/>
      <c r="O38" s="3000"/>
      <c r="P38" s="3459" t="s">
        <v>2284</v>
      </c>
      <c r="Q38" s="1616" t="str">
        <f t="shared" si="11"/>
        <v>物业管理</v>
      </c>
      <c r="R38" s="1725" t="s">
        <v>28</v>
      </c>
      <c r="S38" s="1726">
        <f t="shared" si="12"/>
        <v>100</v>
      </c>
      <c r="T38" s="1725" t="s">
        <v>28</v>
      </c>
      <c r="U38" s="1726">
        <f t="shared" si="13"/>
        <v>100</v>
      </c>
      <c r="V38" s="1725" t="s">
        <v>28</v>
      </c>
      <c r="W38" s="1726">
        <f t="shared" si="14"/>
        <v>100</v>
      </c>
      <c r="X38" s="1666"/>
      <c r="Y38" s="3461" t="s">
        <v>2284</v>
      </c>
      <c r="Z38" s="1727" t="str">
        <f t="shared" si="15"/>
        <v>物业管理</v>
      </c>
      <c r="AA38" s="1728">
        <f t="shared" si="3"/>
        <v>1</v>
      </c>
      <c r="AB38" s="1728">
        <f t="shared" si="4"/>
        <v>1</v>
      </c>
      <c r="AC38" s="1728">
        <f t="shared" si="5"/>
        <v>1</v>
      </c>
    </row>
    <row r="39" spans="1:29" ht="15">
      <c r="A39" s="1772"/>
      <c r="B39" s="1695" t="s">
        <v>2291</v>
      </c>
      <c r="C39" s="1755" t="s">
        <v>2906</v>
      </c>
      <c r="D39" s="1711">
        <v>100</v>
      </c>
      <c r="E39" s="1753" t="s">
        <v>2906</v>
      </c>
      <c r="F39" s="1754">
        <f>SUMIF(116:116,E39,117:117)-SUMIF(116:116,C39,117:117)+100</f>
        <v>100</v>
      </c>
      <c r="G39" s="1755" t="s">
        <v>2906</v>
      </c>
      <c r="H39" s="1711">
        <f>SUMIF(116:116,G39,117:117)-SUMIF(116:116,C39,117:117)+100</f>
        <v>100</v>
      </c>
      <c r="I39" s="1753" t="s">
        <v>2906</v>
      </c>
      <c r="J39" s="1711">
        <f>SUMIF(116:116,I39,117:117)-SUMIF(116:116,C39,117:117)+100</f>
        <v>100</v>
      </c>
      <c r="K39" s="1700">
        <v>4</v>
      </c>
      <c r="L39" s="3004"/>
      <c r="M39" s="3000"/>
      <c r="N39" s="3000"/>
      <c r="O39" s="3000"/>
      <c r="P39" s="3459"/>
      <c r="Q39" s="1616" t="str">
        <f t="shared" si="11"/>
        <v>市政基础设施</v>
      </c>
      <c r="R39" s="1725" t="s">
        <v>28</v>
      </c>
      <c r="S39" s="1726">
        <f t="shared" si="12"/>
        <v>100</v>
      </c>
      <c r="T39" s="1725" t="s">
        <v>28</v>
      </c>
      <c r="U39" s="1726">
        <f t="shared" si="13"/>
        <v>100</v>
      </c>
      <c r="V39" s="1725" t="s">
        <v>28</v>
      </c>
      <c r="W39" s="1726">
        <f t="shared" si="14"/>
        <v>100</v>
      </c>
      <c r="X39" s="1666"/>
      <c r="Y39" s="3461"/>
      <c r="Z39" s="1727" t="str">
        <f t="shared" si="15"/>
        <v>市政基础设施</v>
      </c>
      <c r="AA39" s="1728">
        <f t="shared" si="3"/>
        <v>1</v>
      </c>
      <c r="AB39" s="1728">
        <f t="shared" si="4"/>
        <v>1</v>
      </c>
      <c r="AC39" s="1728">
        <f t="shared" si="5"/>
        <v>1</v>
      </c>
    </row>
    <row r="40" spans="1:29" ht="15">
      <c r="A40" s="1772"/>
      <c r="B40" s="1695" t="s">
        <v>2292</v>
      </c>
      <c r="C40" s="1755" t="s">
        <v>2962</v>
      </c>
      <c r="D40" s="1711">
        <v>100</v>
      </c>
      <c r="E40" s="1753" t="s">
        <v>2962</v>
      </c>
      <c r="F40" s="1754">
        <f>SUMIF(118:118,E40,119:119)-SUMIF(118:118,C40,119:119)+100</f>
        <v>100</v>
      </c>
      <c r="G40" s="1755" t="s">
        <v>2962</v>
      </c>
      <c r="H40" s="1711">
        <f>SUMIF(118:118,G40,119:119)-SUMIF(118:118,C40,119:119)+100</f>
        <v>100</v>
      </c>
      <c r="I40" s="1753" t="s">
        <v>2962</v>
      </c>
      <c r="J40" s="1711">
        <f>SUMIF(118:118,I40,119:119)-SUMIF(118:118,C40,119:119)+100</f>
        <v>100</v>
      </c>
      <c r="K40" s="1700"/>
      <c r="L40" s="3004"/>
      <c r="M40" s="3000"/>
      <c r="N40" s="3000"/>
      <c r="O40" s="3000"/>
      <c r="P40" s="3459"/>
      <c r="Q40" s="1616" t="str">
        <f t="shared" si="11"/>
        <v>房型</v>
      </c>
      <c r="R40" s="1725" t="s">
        <v>28</v>
      </c>
      <c r="S40" s="1726">
        <f t="shared" si="12"/>
        <v>100</v>
      </c>
      <c r="T40" s="1725" t="s">
        <v>28</v>
      </c>
      <c r="U40" s="1726">
        <f t="shared" si="13"/>
        <v>100</v>
      </c>
      <c r="V40" s="1725" t="s">
        <v>28</v>
      </c>
      <c r="W40" s="1726">
        <f t="shared" si="14"/>
        <v>100</v>
      </c>
      <c r="X40" s="1666"/>
      <c r="Y40" s="3461"/>
      <c r="Z40" s="1727" t="str">
        <f t="shared" si="15"/>
        <v>房型</v>
      </c>
      <c r="AA40" s="1728">
        <f t="shared" si="3"/>
        <v>1</v>
      </c>
      <c r="AB40" s="1728">
        <f t="shared" si="4"/>
        <v>1</v>
      </c>
      <c r="AC40" s="1728">
        <f t="shared" si="5"/>
        <v>1</v>
      </c>
    </row>
    <row r="41" spans="1:29" s="1771" customFormat="1" ht="28.8" hidden="1">
      <c r="A41" s="1764"/>
      <c r="B41" s="1695" t="s">
        <v>2293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3"/>
      <c r="M41" s="2059"/>
      <c r="N41" s="2059"/>
      <c r="O41" s="2059"/>
      <c r="P41" s="3459"/>
      <c r="Q41" s="1766" t="str">
        <f t="shared" si="11"/>
        <v>单套/主力户型建筑面积</v>
      </c>
      <c r="R41" s="1767" t="s">
        <v>28</v>
      </c>
      <c r="S41" s="1768">
        <f t="shared" si="12"/>
        <v>100</v>
      </c>
      <c r="T41" s="1767" t="s">
        <v>28</v>
      </c>
      <c r="U41" s="1768">
        <f t="shared" si="13"/>
        <v>100</v>
      </c>
      <c r="V41" s="1767" t="s">
        <v>28</v>
      </c>
      <c r="W41" s="1768">
        <f t="shared" si="14"/>
        <v>100</v>
      </c>
      <c r="X41" s="1769"/>
      <c r="Y41" s="3461"/>
      <c r="Z41" s="1770" t="str">
        <f t="shared" si="15"/>
        <v>单套/主力户型建筑面积</v>
      </c>
      <c r="AA41" s="1728">
        <f t="shared" si="3"/>
        <v>1</v>
      </c>
      <c r="AB41" s="1728">
        <f t="shared" si="4"/>
        <v>1</v>
      </c>
      <c r="AC41" s="1728">
        <f t="shared" si="5"/>
        <v>1</v>
      </c>
    </row>
    <row r="42" spans="1:29" ht="15">
      <c r="A42" s="1772"/>
      <c r="B42" s="1695" t="s">
        <v>2294</v>
      </c>
      <c r="C42" s="1755" t="s">
        <v>3029</v>
      </c>
      <c r="D42" s="1711">
        <v>100</v>
      </c>
      <c r="E42" s="1753" t="s">
        <v>2964</v>
      </c>
      <c r="F42" s="1754">
        <f>SUMIF(122:122,E42,123:123)-SUMIF(122:122,C42,123:123)+100</f>
        <v>112</v>
      </c>
      <c r="G42" s="1755" t="s">
        <v>2964</v>
      </c>
      <c r="H42" s="1711">
        <f>SUMIF(122:122,G42,123:123)-SUMIF(122:122,C42,123:123)+100</f>
        <v>112</v>
      </c>
      <c r="I42" s="1753" t="s">
        <v>3031</v>
      </c>
      <c r="J42" s="1711">
        <f>SUMIF(122:122,I42,123:123)-SUMIF(122:122,C42,123:123)+100</f>
        <v>106</v>
      </c>
      <c r="K42" s="1700">
        <v>6</v>
      </c>
      <c r="L42" s="3004"/>
      <c r="M42" s="3000"/>
      <c r="N42" s="3000"/>
      <c r="O42" s="3000"/>
      <c r="P42" s="3459"/>
      <c r="Q42" s="1616" t="str">
        <f t="shared" si="11"/>
        <v>内部装修</v>
      </c>
      <c r="R42" s="1725" t="s">
        <v>28</v>
      </c>
      <c r="S42" s="1726">
        <f t="shared" si="12"/>
        <v>112</v>
      </c>
      <c r="T42" s="1725" t="s">
        <v>28</v>
      </c>
      <c r="U42" s="1726">
        <f t="shared" si="13"/>
        <v>112</v>
      </c>
      <c r="V42" s="1725" t="s">
        <v>28</v>
      </c>
      <c r="W42" s="1726">
        <f t="shared" si="14"/>
        <v>106</v>
      </c>
      <c r="X42" s="1666"/>
      <c r="Y42" s="3461"/>
      <c r="Z42" s="1727" t="str">
        <f t="shared" si="15"/>
        <v>内部装修</v>
      </c>
      <c r="AA42" s="1728">
        <f t="shared" si="3"/>
        <v>0.8928571428571429</v>
      </c>
      <c r="AB42" s="1728">
        <f t="shared" si="4"/>
        <v>0.8928571428571429</v>
      </c>
      <c r="AC42" s="1728">
        <f t="shared" si="5"/>
        <v>0.94339622641509435</v>
      </c>
    </row>
    <row r="43" spans="1:29" ht="28.8" hidden="1">
      <c r="A43" s="1772"/>
      <c r="B43" s="1695" t="s">
        <v>2295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4"/>
      <c r="M43" s="3000"/>
      <c r="N43" s="3000"/>
      <c r="O43" s="3000"/>
      <c r="P43" s="3459"/>
      <c r="Q43" s="1616" t="str">
        <f t="shared" si="11"/>
        <v>内部装修维护情况</v>
      </c>
      <c r="R43" s="1725" t="s">
        <v>28</v>
      </c>
      <c r="S43" s="1726">
        <f t="shared" si="12"/>
        <v>100</v>
      </c>
      <c r="T43" s="1725" t="s">
        <v>28</v>
      </c>
      <c r="U43" s="1726">
        <f t="shared" si="13"/>
        <v>100</v>
      </c>
      <c r="V43" s="1725" t="s">
        <v>28</v>
      </c>
      <c r="W43" s="1726">
        <f t="shared" si="14"/>
        <v>100</v>
      </c>
      <c r="X43" s="1666"/>
      <c r="Y43" s="3461"/>
      <c r="Z43" s="1727" t="str">
        <f t="shared" si="15"/>
        <v>内部装修维护情况</v>
      </c>
      <c r="AA43" s="1728">
        <f t="shared" si="3"/>
        <v>1</v>
      </c>
      <c r="AB43" s="1728">
        <f t="shared" si="4"/>
        <v>1</v>
      </c>
      <c r="AC43" s="1728">
        <f t="shared" si="5"/>
        <v>1</v>
      </c>
    </row>
    <row r="44" spans="1:29" s="1685" customFormat="1" ht="15">
      <c r="A44" s="1775"/>
      <c r="B44" s="3155" t="s">
        <v>2969</v>
      </c>
      <c r="C44" s="1765">
        <v>1980</v>
      </c>
      <c r="D44" s="1697">
        <v>100</v>
      </c>
      <c r="E44" s="1765">
        <v>2001</v>
      </c>
      <c r="F44" s="1699">
        <f>SUMIF(126:126,E44,127:127)-SUMIF(126:126,C44,127:127)+100</f>
        <v>110.5</v>
      </c>
      <c r="G44" s="1765">
        <v>2000</v>
      </c>
      <c r="H44" s="1697">
        <f>SUMIF(126:126,G44,127:127)-SUMIF(126:126,C44,127:127)+100</f>
        <v>110</v>
      </c>
      <c r="I44" s="1765">
        <v>2000</v>
      </c>
      <c r="J44" s="1697">
        <f>SUMIF(126:126,I44,127:127)-SUMIF(126:126,C44,127:127)+100</f>
        <v>110</v>
      </c>
      <c r="K44" s="1709"/>
      <c r="L44" s="2999"/>
      <c r="M44" s="2972"/>
      <c r="N44" s="2972"/>
      <c r="O44" s="2972"/>
      <c r="P44" s="3459"/>
      <c r="Q44" s="1635" t="str">
        <f t="shared" si="11"/>
        <v>建成年代</v>
      </c>
      <c r="R44" s="1681" t="s">
        <v>28</v>
      </c>
      <c r="S44" s="1682">
        <f t="shared" si="12"/>
        <v>110.5</v>
      </c>
      <c r="T44" s="1681" t="s">
        <v>28</v>
      </c>
      <c r="U44" s="1682">
        <f t="shared" si="13"/>
        <v>110</v>
      </c>
      <c r="V44" s="1681" t="s">
        <v>28</v>
      </c>
      <c r="W44" s="1682">
        <f t="shared" si="14"/>
        <v>110</v>
      </c>
      <c r="X44" s="1683"/>
      <c r="Y44" s="3461"/>
      <c r="Z44" s="1693" t="str">
        <f t="shared" si="15"/>
        <v>建成年代</v>
      </c>
      <c r="AA44" s="1684">
        <f t="shared" si="3"/>
        <v>0.90497737556561086</v>
      </c>
      <c r="AB44" s="1684">
        <f t="shared" si="4"/>
        <v>0.90909090909090906</v>
      </c>
      <c r="AC44" s="1684">
        <f t="shared" si="5"/>
        <v>0.90909090909090906</v>
      </c>
    </row>
    <row r="45" spans="1:29" ht="15">
      <c r="A45" s="1772"/>
      <c r="B45" s="3155" t="s">
        <v>2973</v>
      </c>
      <c r="C45" s="3156" t="s">
        <v>2974</v>
      </c>
      <c r="D45" s="1711">
        <v>100</v>
      </c>
      <c r="E45" s="3156" t="s">
        <v>2974</v>
      </c>
      <c r="F45" s="1754">
        <f>SUMIF(128:128,E45,129:129)-SUMIF(128:128,C45,129:129)+100</f>
        <v>100</v>
      </c>
      <c r="G45" s="3156" t="s">
        <v>2974</v>
      </c>
      <c r="H45" s="1711">
        <f>SUMIF(128:128,G45,129:129)-SUMIF(128:128,C45,129:129)+100</f>
        <v>100</v>
      </c>
      <c r="I45" s="3156" t="s">
        <v>2974</v>
      </c>
      <c r="J45" s="1711">
        <f>SUMIF(128:128,I45,129:129)-SUMIF(128:128,C45,129:129)+100</f>
        <v>100</v>
      </c>
      <c r="K45" s="1709"/>
      <c r="L45" s="3004"/>
      <c r="M45" s="3000"/>
      <c r="N45" s="3000"/>
      <c r="O45" s="3000"/>
      <c r="P45" s="3459"/>
      <c r="Q45" s="1616" t="str">
        <f t="shared" si="11"/>
        <v>维护</v>
      </c>
      <c r="R45" s="1725" t="s">
        <v>28</v>
      </c>
      <c r="S45" s="1726">
        <f t="shared" si="12"/>
        <v>100</v>
      </c>
      <c r="T45" s="1725" t="s">
        <v>28</v>
      </c>
      <c r="U45" s="1726">
        <f t="shared" si="13"/>
        <v>100</v>
      </c>
      <c r="V45" s="1725" t="s">
        <v>28</v>
      </c>
      <c r="W45" s="1726">
        <f t="shared" si="14"/>
        <v>100</v>
      </c>
      <c r="X45" s="1666"/>
      <c r="Y45" s="3461"/>
      <c r="Z45" s="1727" t="str">
        <f t="shared" si="15"/>
        <v>维护</v>
      </c>
      <c r="AA45" s="1728">
        <f t="shared" si="3"/>
        <v>1</v>
      </c>
      <c r="AB45" s="1728">
        <f t="shared" si="4"/>
        <v>1</v>
      </c>
      <c r="AC45" s="1728">
        <f t="shared" si="5"/>
        <v>1</v>
      </c>
    </row>
    <row r="46" spans="1:29" ht="15.6" thickBot="1">
      <c r="A46" s="1780"/>
      <c r="B46" s="3164" t="s">
        <v>2987</v>
      </c>
      <c r="C46" s="3165" t="s">
        <v>3033</v>
      </c>
      <c r="D46" s="1715">
        <v>100</v>
      </c>
      <c r="E46" s="3165" t="s">
        <v>3034</v>
      </c>
      <c r="F46" s="1716">
        <f>SUMIF(130:130,E46,131:131)-SUMIF(130:130,C46,131:131)+100</f>
        <v>100</v>
      </c>
      <c r="G46" s="3165" t="s">
        <v>3033</v>
      </c>
      <c r="H46" s="1715">
        <f>SUMIF(130:130,G46,131:131)-SUMIF(130:130,C46,131:131)+100</f>
        <v>100</v>
      </c>
      <c r="I46" s="3165" t="s">
        <v>3033</v>
      </c>
      <c r="J46" s="1715">
        <f>SUMIF(130:130,I46,131:131)-SUMIF(130:130,C46,131:131)+100</f>
        <v>100</v>
      </c>
      <c r="K46" s="1709"/>
      <c r="L46" s="3004"/>
      <c r="M46" s="3000"/>
      <c r="N46" s="3000"/>
      <c r="O46" s="3000"/>
      <c r="P46" s="3460"/>
      <c r="Q46" s="1616" t="str">
        <f t="shared" si="11"/>
        <v>户型</v>
      </c>
      <c r="R46" s="1725" t="s">
        <v>27</v>
      </c>
      <c r="S46" s="1726">
        <f t="shared" si="12"/>
        <v>100</v>
      </c>
      <c r="T46" s="1725" t="s">
        <v>27</v>
      </c>
      <c r="U46" s="1726">
        <f t="shared" si="13"/>
        <v>100</v>
      </c>
      <c r="V46" s="1725" t="s">
        <v>27</v>
      </c>
      <c r="W46" s="1726">
        <f t="shared" si="14"/>
        <v>100</v>
      </c>
      <c r="X46" s="1666"/>
      <c r="Y46" s="3462"/>
      <c r="Z46" s="1727" t="str">
        <f t="shared" si="15"/>
        <v>户型</v>
      </c>
      <c r="AA46" s="1728">
        <f t="shared" si="3"/>
        <v>1</v>
      </c>
      <c r="AB46" s="1728">
        <f t="shared" si="4"/>
        <v>1</v>
      </c>
      <c r="AC46" s="1728">
        <f t="shared" si="5"/>
        <v>1</v>
      </c>
    </row>
    <row r="47" spans="1:29" ht="14.4">
      <c r="A47" s="1781" t="s">
        <v>2296</v>
      </c>
      <c r="B47" s="1782"/>
      <c r="C47" s="1783" t="s">
        <v>26</v>
      </c>
      <c r="D47" s="1784"/>
      <c r="E47" s="1785">
        <f>'sheet1 (2)'!B10</f>
        <v>74.400000000000006</v>
      </c>
      <c r="F47" s="1786"/>
      <c r="G47" s="1787">
        <f>'sheet1 (2)'!B19</f>
        <v>71</v>
      </c>
      <c r="H47" s="1788"/>
      <c r="I47" s="1785">
        <f>'sheet1 (2)'!B33</f>
        <v>57.9</v>
      </c>
      <c r="J47" s="1788"/>
      <c r="K47" s="1789"/>
      <c r="L47" s="3005"/>
      <c r="N47" s="3000"/>
      <c r="P47" s="3468" t="str">
        <f>A47</f>
        <v>成交单价（元/平方米）</v>
      </c>
      <c r="Q47" s="3468"/>
      <c r="R47" s="3469">
        <f>E47</f>
        <v>74.400000000000006</v>
      </c>
      <c r="S47" s="3469"/>
      <c r="T47" s="3469">
        <f>G47</f>
        <v>71</v>
      </c>
      <c r="U47" s="3469"/>
      <c r="V47" s="3469">
        <f>I47</f>
        <v>57.9</v>
      </c>
      <c r="W47" s="3469"/>
      <c r="X47" s="1791"/>
      <c r="Y47" s="1792"/>
      <c r="Z47" s="1791"/>
      <c r="AA47" s="1791"/>
      <c r="AB47" s="1791"/>
      <c r="AC47" s="1791"/>
    </row>
    <row r="48" spans="1:29" ht="15" thickBot="1">
      <c r="A48" s="1793" t="s">
        <v>2297</v>
      </c>
      <c r="B48" s="1794"/>
      <c r="C48" s="1795">
        <f>R49</f>
        <v>54.3</v>
      </c>
      <c r="D48" s="1796" t="s">
        <v>2753</v>
      </c>
      <c r="E48" s="1797">
        <f>R48</f>
        <v>58.4</v>
      </c>
      <c r="F48" s="1798"/>
      <c r="G48" s="1795">
        <f>T48</f>
        <v>54.9</v>
      </c>
      <c r="H48" s="1798"/>
      <c r="I48" s="1797">
        <f>V48</f>
        <v>49.7</v>
      </c>
      <c r="J48" s="1798"/>
      <c r="K48" s="2514">
        <f>F48+H48+J48</f>
        <v>0</v>
      </c>
      <c r="L48" s="3005"/>
      <c r="P48" s="3468" t="str">
        <f>A48</f>
        <v>比较价值（元/平方米）</v>
      </c>
      <c r="Q48" s="3468"/>
      <c r="R48" s="3469">
        <f>IF(E1="售价",ROUND(PRODUCT(R47,AA7:AA46),0),ROUND(PRODUCT(R47,AA7:AA46),1))</f>
        <v>58.4</v>
      </c>
      <c r="S48" s="3469"/>
      <c r="T48" s="3472">
        <f>IF(E1="售价",ROUND(PRODUCT(T47,AB7:AB46),0),ROUND(PRODUCT(T47,AB7:AB46),1))</f>
        <v>54.9</v>
      </c>
      <c r="U48" s="3473"/>
      <c r="V48" s="3469">
        <f>IF(E1="售价",ROUND(PRODUCT(V47,AC7:AC46),0),ROUND(PRODUCT(V47,AC7:AC46),1))</f>
        <v>49.7</v>
      </c>
      <c r="W48" s="3469"/>
      <c r="X48" s="1791"/>
      <c r="Y48" s="1791"/>
      <c r="Z48" s="1791"/>
      <c r="AA48" s="1791"/>
      <c r="AB48" s="1791"/>
      <c r="AC48" s="1791"/>
    </row>
    <row r="49" spans="1:29" ht="15" thickBot="1">
      <c r="A49" s="1799" t="s">
        <v>2972</v>
      </c>
      <c r="B49" s="1800"/>
      <c r="C49" s="1801">
        <f>R49</f>
        <v>54.3</v>
      </c>
      <c r="D49" s="1802"/>
      <c r="E49" s="1802"/>
      <c r="F49" s="1802"/>
      <c r="G49" s="1802"/>
      <c r="H49" s="1802"/>
      <c r="I49" s="1802"/>
      <c r="J49" s="1802"/>
      <c r="K49" s="1803"/>
      <c r="L49" s="3005"/>
      <c r="P49" s="3474" t="str">
        <f>A49</f>
        <v>估价对象住宅用房的比较价值（楼面单价，元/平方米）</v>
      </c>
      <c r="Q49" s="3475"/>
      <c r="R49" s="3476">
        <f>IF(E1="售价",ROUND(IF(D48="简单平均",AVERAGE(R48:V48),R48*F48+T48*H48+V48*J48),0),ROUND(IF(D48="简单平均",AVERAGE(R48:V48),R48*F48+T48*H48+V48*J48),1))</f>
        <v>54.3</v>
      </c>
      <c r="S49" s="3476"/>
      <c r="T49" s="3476"/>
      <c r="U49" s="3476"/>
      <c r="V49" s="3476"/>
      <c r="W49" s="3476"/>
      <c r="X49" s="1791"/>
      <c r="Y49" s="1791"/>
      <c r="Z49" s="1791"/>
      <c r="AA49" s="1791"/>
      <c r="AB49" s="1791"/>
      <c r="AC49" s="1791"/>
    </row>
    <row r="50" spans="1:29">
      <c r="C50" s="1667">
        <f>ROUND(C49*0.9,1)</f>
        <v>48.9</v>
      </c>
      <c r="D50" s="1667">
        <f>ROUND(C49*1.1,1)</f>
        <v>59.7</v>
      </c>
      <c r="G50" s="3009"/>
    </row>
    <row r="52" spans="1:29" ht="13.5" customHeight="1">
      <c r="C52" s="383" t="s">
        <v>2298</v>
      </c>
      <c r="D52" s="1807"/>
      <c r="E52" s="1808">
        <f>IF(E47&lt;E48,E48/E47-1,E47/E48-1)</f>
        <v>0.27397260273972623</v>
      </c>
      <c r="F52" s="1809" t="str">
        <f>IF(OR(E52&gt;=0.3,E52&lt;=-0.3),"超过30%","")</f>
        <v/>
      </c>
      <c r="G52" s="1808">
        <f>IF(G47&lt;G48,G48/G47-1,G47/G48-1)</f>
        <v>0.2932604735883424</v>
      </c>
      <c r="H52" s="1809" t="str">
        <f>IF(OR(G52&gt;=0.3,G52&lt;=-0.3),"超过30%","")</f>
        <v/>
      </c>
      <c r="I52" s="1808">
        <f>IF(I47&lt;I48,I48/I47-1,I47/I48-1)</f>
        <v>0.16498993963782693</v>
      </c>
      <c r="J52" s="1809" t="str">
        <f>IF(OR(I52&gt;=0.3,I52&lt;=-0.3),"超过30%","")</f>
        <v/>
      </c>
    </row>
    <row r="53" spans="1:29" ht="13.5" customHeight="1">
      <c r="C53" s="383" t="s">
        <v>2299</v>
      </c>
      <c r="D53" s="1810"/>
      <c r="E53" s="1808">
        <f>IF(E48&lt;G48,G48/E48-1,E48/G48-1)</f>
        <v>6.3752276867030888E-2</v>
      </c>
      <c r="F53" s="1809" t="str">
        <f>IF(OR(E53&gt;=0.2,E53&lt;=-0.2),"超过20%","")</f>
        <v/>
      </c>
      <c r="G53" s="1808">
        <f>IF(G48&lt;I48,I48/G48-1,G48/I48-1)</f>
        <v>0.1046277665995976</v>
      </c>
      <c r="H53" s="1809" t="str">
        <f>IF(OR(G53&gt;=0.2,G53&lt;=-0.2),"超过20%","")</f>
        <v/>
      </c>
      <c r="I53" s="1808">
        <f>IF(I48&lt;E48,E48/I48-1,I48/E48-1)</f>
        <v>0.17505030181086512</v>
      </c>
      <c r="J53" s="1809" t="str">
        <f>IF(OR(I53&gt;=0.2,I53&lt;=-0.2),"超过20%","")</f>
        <v/>
      </c>
    </row>
    <row r="54" spans="1:29" s="1813" customFormat="1" ht="13.5" customHeight="1">
      <c r="C54" s="383" t="s">
        <v>2300</v>
      </c>
      <c r="D54" s="1810"/>
      <c r="E54" s="1808">
        <f>IF(E47&lt;G47,G47/E47-1,E47/G47-1)</f>
        <v>4.788732394366213E-2</v>
      </c>
      <c r="F54" s="1809" t="str">
        <f>IF(OR(E54&gt;=0.3,E54&lt;=-0.3),"超过30%","")</f>
        <v/>
      </c>
      <c r="G54" s="1808">
        <f>IF(G47&lt;I47,I47/G47-1,G47/I47-1)</f>
        <v>0.226252158894646</v>
      </c>
      <c r="H54" s="1809" t="str">
        <f>IF(OR(G54&gt;=0.3,G54&lt;=-0.3),"超过30%","")</f>
        <v/>
      </c>
      <c r="I54" s="1808">
        <f>IF(I47&lt;E47,E47/I47-1,I47/E47-1)</f>
        <v>0.28497409326424883</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2024-8</v>
      </c>
      <c r="D58" s="1825">
        <f>EDATE(C58,-1)</f>
        <v>45474</v>
      </c>
      <c r="E58" s="1825">
        <f t="shared" ref="E58:O58" si="16">EDATE(D58,-1)</f>
        <v>45444</v>
      </c>
      <c r="F58" s="1825">
        <f t="shared" si="16"/>
        <v>45413</v>
      </c>
      <c r="G58" s="1825">
        <f t="shared" si="16"/>
        <v>45383</v>
      </c>
      <c r="H58" s="1825">
        <f t="shared" si="16"/>
        <v>45352</v>
      </c>
      <c r="I58" s="1825">
        <f t="shared" si="16"/>
        <v>45323</v>
      </c>
      <c r="J58" s="1825">
        <f t="shared" si="16"/>
        <v>45292</v>
      </c>
      <c r="K58" s="1825">
        <f t="shared" si="16"/>
        <v>45261</v>
      </c>
      <c r="L58" s="1825">
        <f t="shared" si="16"/>
        <v>45231</v>
      </c>
      <c r="M58" s="1825">
        <f t="shared" si="16"/>
        <v>45200</v>
      </c>
      <c r="N58" s="1825">
        <f t="shared" si="16"/>
        <v>45170</v>
      </c>
      <c r="O58" s="1825">
        <f t="shared" si="16"/>
        <v>45139</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97</v>
      </c>
      <c r="E79" s="1862">
        <f>D79-$K17</f>
        <v>94</v>
      </c>
      <c r="F79" s="1862">
        <f>E79-$K17</f>
        <v>91</v>
      </c>
      <c r="G79" s="1862">
        <f>F79-$K17</f>
        <v>88</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4.4" thickBot="1">
      <c r="A91" s="1869"/>
      <c r="B91" s="1861"/>
      <c r="C91" s="1874"/>
      <c r="D91" s="1874"/>
      <c r="E91" s="1874"/>
      <c r="F91" s="1874"/>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4" t="s">
        <v>2975</v>
      </c>
      <c r="D100" s="3154" t="s">
        <v>2971</v>
      </c>
      <c r="E100" s="3154" t="s">
        <v>2984</v>
      </c>
      <c r="F100" s="3154" t="s">
        <v>2985</v>
      </c>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v>
      </c>
      <c r="E101" s="1862">
        <f t="shared" si="22"/>
        <v>98</v>
      </c>
      <c r="F101" s="1862">
        <f t="shared" si="22"/>
        <v>97</v>
      </c>
      <c r="G101" s="1862">
        <f t="shared" si="22"/>
        <v>96</v>
      </c>
      <c r="H101" s="1862">
        <f t="shared" si="22"/>
        <v>95</v>
      </c>
      <c r="I101" s="1862">
        <f t="shared" si="22"/>
        <v>94</v>
      </c>
      <c r="J101" s="1862">
        <f t="shared" si="22"/>
        <v>93</v>
      </c>
      <c r="K101" s="1862">
        <f t="shared" si="22"/>
        <v>92</v>
      </c>
      <c r="L101" s="1862">
        <f t="shared" si="22"/>
        <v>91</v>
      </c>
      <c r="M101" s="1862">
        <f t="shared" si="22"/>
        <v>90</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3" t="s">
        <v>2966</v>
      </c>
      <c r="D105" s="3153" t="s">
        <v>2967</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96</v>
      </c>
      <c r="E106" s="1862">
        <f t="shared" si="24"/>
        <v>92</v>
      </c>
      <c r="F106" s="1862">
        <f t="shared" si="24"/>
        <v>88</v>
      </c>
      <c r="G106" s="1862">
        <f t="shared" si="24"/>
        <v>84</v>
      </c>
      <c r="H106" s="1862">
        <f t="shared" si="24"/>
        <v>80</v>
      </c>
      <c r="I106" s="1862">
        <f t="shared" si="24"/>
        <v>76</v>
      </c>
      <c r="J106" s="1862">
        <f t="shared" si="24"/>
        <v>72</v>
      </c>
      <c r="K106" s="1862">
        <f t="shared" si="24"/>
        <v>68</v>
      </c>
      <c r="L106" s="1862">
        <f t="shared" si="24"/>
        <v>64</v>
      </c>
      <c r="M106" s="1862">
        <f t="shared" si="24"/>
        <v>60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3" t="s">
        <v>2965</v>
      </c>
      <c r="D109" s="468"/>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4.4"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43.8" thickTop="1">
      <c r="A114" s="1903"/>
      <c r="B114" s="1858" t="s">
        <v>2336</v>
      </c>
      <c r="C114" s="3153"/>
      <c r="D114" s="3153" t="s">
        <v>2977</v>
      </c>
      <c r="E114" s="3159" t="s">
        <v>2978</v>
      </c>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7">C115-$K38</f>
        <v>98</v>
      </c>
      <c r="E115" s="1862">
        <f t="shared" si="27"/>
        <v>96</v>
      </c>
      <c r="F115" s="1862">
        <f t="shared" si="27"/>
        <v>94</v>
      </c>
      <c r="G115" s="1862">
        <f t="shared" si="27"/>
        <v>92</v>
      </c>
      <c r="H115" s="1862">
        <f t="shared" si="27"/>
        <v>90</v>
      </c>
      <c r="I115" s="1862">
        <f t="shared" si="27"/>
        <v>88</v>
      </c>
      <c r="J115" s="1862">
        <f t="shared" si="27"/>
        <v>86</v>
      </c>
      <c r="K115" s="1862">
        <f t="shared" si="27"/>
        <v>84</v>
      </c>
      <c r="L115" s="1862">
        <f t="shared" si="27"/>
        <v>82</v>
      </c>
      <c r="M115" s="1862">
        <f t="shared" si="27"/>
        <v>80</v>
      </c>
      <c r="N115" s="1857"/>
      <c r="O115" s="1857"/>
      <c r="P115" s="1852"/>
      <c r="Q115" s="1821"/>
    </row>
    <row r="116" spans="1:17" ht="15" thickTop="1">
      <c r="A116" s="1903"/>
      <c r="B116" s="1858" t="s">
        <v>2337</v>
      </c>
      <c r="C116" s="3153" t="s">
        <v>2961</v>
      </c>
      <c r="D116" s="3153" t="s">
        <v>2976</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96</v>
      </c>
      <c r="E117" s="1862">
        <f>D117-$K39</f>
        <v>92</v>
      </c>
      <c r="F117" s="1862">
        <f>E117-$K39</f>
        <v>88</v>
      </c>
      <c r="G117" s="1862">
        <f>F117-$K39</f>
        <v>84</v>
      </c>
      <c r="H117" s="1862"/>
      <c r="I117" s="1862"/>
      <c r="J117" s="1862"/>
      <c r="K117" s="1862"/>
      <c r="L117" s="1862"/>
      <c r="M117" s="1863"/>
      <c r="N117" s="1857"/>
      <c r="O117" s="1857"/>
      <c r="P117" s="1852"/>
      <c r="Q117" s="1821"/>
    </row>
    <row r="118" spans="1:17" ht="15" thickTop="1">
      <c r="A118" s="1903"/>
      <c r="B118" s="1858" t="s">
        <v>2338</v>
      </c>
      <c r="C118" s="3159" t="s">
        <v>2963</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9.4" thickTop="1">
      <c r="A120" s="1899"/>
      <c r="B120" s="1858" t="s">
        <v>2293</v>
      </c>
      <c r="C120" s="468"/>
      <c r="D120" s="468"/>
      <c r="E120" s="468"/>
      <c r="F120" s="468"/>
      <c r="G120" s="468"/>
      <c r="H120" s="468"/>
      <c r="I120" s="468"/>
      <c r="J120" s="468"/>
      <c r="K120" s="468"/>
      <c r="L120" s="468"/>
      <c r="M120" s="1890"/>
      <c r="N120" s="1871"/>
      <c r="O120" s="1871"/>
      <c r="P120" s="1872"/>
      <c r="Q120" s="1873"/>
    </row>
    <row r="121" spans="1:17" s="1771" customFormat="1" ht="14.4"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2339</v>
      </c>
      <c r="C122" s="3153" t="s">
        <v>2965</v>
      </c>
      <c r="D122" s="3153" t="s">
        <v>3032</v>
      </c>
      <c r="E122" s="3153" t="s">
        <v>3030</v>
      </c>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29">C123-$K42</f>
        <v>94</v>
      </c>
      <c r="E123" s="1862">
        <f t="shared" si="29"/>
        <v>88</v>
      </c>
      <c r="F123" s="1862">
        <f t="shared" si="29"/>
        <v>82</v>
      </c>
      <c r="G123" s="1862">
        <f t="shared" si="29"/>
        <v>76</v>
      </c>
      <c r="H123" s="1862">
        <f t="shared" si="29"/>
        <v>70</v>
      </c>
      <c r="I123" s="1862">
        <f t="shared" si="29"/>
        <v>64</v>
      </c>
      <c r="J123" s="1862">
        <f t="shared" si="29"/>
        <v>58</v>
      </c>
      <c r="K123" s="1862">
        <f t="shared" si="29"/>
        <v>52</v>
      </c>
      <c r="L123" s="1862">
        <f t="shared" si="29"/>
        <v>46</v>
      </c>
      <c r="M123" s="1862">
        <f t="shared" si="29"/>
        <v>40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f>C44</f>
        <v>1980</v>
      </c>
      <c r="D126" s="468">
        <v>2001</v>
      </c>
      <c r="E126" s="468">
        <v>2000</v>
      </c>
      <c r="F126" s="468"/>
      <c r="G126" s="468"/>
      <c r="H126" s="443"/>
      <c r="I126" s="443"/>
      <c r="J126" s="443"/>
      <c r="K126" s="443"/>
      <c r="L126" s="443"/>
      <c r="M126" s="1870"/>
      <c r="N126" s="1871"/>
      <c r="O126" s="1871"/>
      <c r="P126" s="1872"/>
      <c r="Q126" s="1873"/>
    </row>
    <row r="127" spans="1:17" s="1771" customFormat="1" ht="14.4" thickBot="1">
      <c r="A127" s="1869"/>
      <c r="B127" s="1861"/>
      <c r="C127" s="1874">
        <v>100</v>
      </c>
      <c r="D127" s="1855">
        <v>110.5</v>
      </c>
      <c r="E127" s="1855">
        <v>110</v>
      </c>
      <c r="F127" s="1855"/>
      <c r="G127" s="1874"/>
      <c r="H127" s="1877"/>
      <c r="I127" s="1877"/>
      <c r="J127" s="1877"/>
      <c r="K127" s="1877"/>
      <c r="L127" s="1877"/>
      <c r="M127" s="1878"/>
      <c r="N127" s="1871"/>
      <c r="O127" s="1871"/>
      <c r="P127" s="1872"/>
      <c r="Q127" s="1873"/>
    </row>
    <row r="128" spans="1:17" ht="15" thickTop="1">
      <c r="A128" s="1903"/>
      <c r="B128" s="1858" t="str">
        <f>B45</f>
        <v>维护</v>
      </c>
      <c r="C128" s="3153" t="s">
        <v>2986</v>
      </c>
      <c r="D128" s="3153" t="s">
        <v>2974</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97</v>
      </c>
      <c r="E129" s="1874"/>
      <c r="F129" s="1874"/>
      <c r="G129" s="1855"/>
      <c r="H129" s="1855"/>
      <c r="I129" s="1855"/>
      <c r="J129" s="1855"/>
      <c r="K129" s="1855"/>
      <c r="L129" s="1855"/>
      <c r="M129" s="1856"/>
      <c r="N129" s="1857"/>
      <c r="O129" s="1857"/>
      <c r="P129" s="1852"/>
      <c r="Q129" s="1821"/>
    </row>
    <row r="130" spans="1:17" ht="14.4" thickTop="1">
      <c r="A130" s="1903"/>
      <c r="B130" s="1864" t="str">
        <f>B46</f>
        <v>户型</v>
      </c>
      <c r="C130" s="468" t="str">
        <f>C46</f>
        <v>成套住宅</v>
      </c>
      <c r="D130" s="468" t="str">
        <f>E46</f>
        <v>成套住宅</v>
      </c>
      <c r="E130" s="468" t="str">
        <f>I46</f>
        <v>成套住宅</v>
      </c>
      <c r="F130" s="468"/>
      <c r="G130" s="1894"/>
      <c r="H130" s="1894"/>
      <c r="I130" s="1894"/>
      <c r="J130" s="1894"/>
      <c r="K130" s="409"/>
      <c r="L130" s="409"/>
      <c r="M130" s="1895"/>
      <c r="N130" s="1851"/>
      <c r="O130" s="1851"/>
      <c r="P130" s="1852"/>
      <c r="Q130" s="1821"/>
    </row>
    <row r="131" spans="1:17" ht="14.4" thickBot="1">
      <c r="A131" s="1896"/>
      <c r="B131" s="1881"/>
      <c r="C131" s="1882">
        <v>100</v>
      </c>
      <c r="D131" s="1882">
        <v>102</v>
      </c>
      <c r="E131" s="1882">
        <f>D131</f>
        <v>102</v>
      </c>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O1" sqref="O1:O1048576"/>
    </sheetView>
  </sheetViews>
  <sheetFormatPr defaultColWidth="14.33203125" defaultRowHeight="15.6"/>
  <cols>
    <col min="1" max="1" width="26.44140625" style="3166" customWidth="1"/>
    <col min="2" max="2" width="12.33203125" style="3166" customWidth="1"/>
    <col min="3" max="16384" width="14.33203125" style="3166"/>
  </cols>
  <sheetData>
    <row r="1" spans="1:14">
      <c r="A1" s="3570" t="s">
        <v>2957</v>
      </c>
      <c r="C1" s="3571">
        <v>45474.333831018521</v>
      </c>
      <c r="D1" s="3571">
        <v>45444.333831018521</v>
      </c>
      <c r="E1" s="3571">
        <v>45413.333831018521</v>
      </c>
      <c r="F1" s="3571">
        <v>45383.333831018521</v>
      </c>
      <c r="G1" s="3571">
        <v>45352.333831018521</v>
      </c>
      <c r="H1" s="3571">
        <v>45323.333831018521</v>
      </c>
      <c r="I1" s="3571">
        <v>45292.333831018521</v>
      </c>
      <c r="J1" s="3571">
        <v>45261.333831018521</v>
      </c>
      <c r="K1" s="3571">
        <v>45231.333831018521</v>
      </c>
      <c r="L1" s="3571">
        <v>45200.333831018521</v>
      </c>
      <c r="M1" s="3571">
        <v>45170.333831018521</v>
      </c>
      <c r="N1" s="3571">
        <v>45139.333831018521</v>
      </c>
    </row>
    <row r="2" spans="1:14">
      <c r="A2" s="3570"/>
      <c r="C2" s="3166" t="s">
        <v>2988</v>
      </c>
      <c r="D2" s="3166" t="s">
        <v>2988</v>
      </c>
      <c r="E2" s="3166" t="s">
        <v>2988</v>
      </c>
      <c r="F2" s="3166" t="s">
        <v>2988</v>
      </c>
      <c r="G2" s="3166" t="s">
        <v>2988</v>
      </c>
      <c r="H2" s="3166" t="s">
        <v>2988</v>
      </c>
      <c r="I2" s="3166" t="s">
        <v>2988</v>
      </c>
      <c r="J2" s="3166" t="s">
        <v>2988</v>
      </c>
      <c r="K2" s="3166" t="s">
        <v>2988</v>
      </c>
      <c r="L2" s="3166" t="s">
        <v>2988</v>
      </c>
      <c r="M2" s="3166" t="s">
        <v>2988</v>
      </c>
      <c r="N2" s="3166" t="s">
        <v>2988</v>
      </c>
    </row>
    <row r="3" spans="1:14">
      <c r="A3" s="3166" t="s">
        <v>2991</v>
      </c>
      <c r="B3" s="3166">
        <f>ROUND(AVERAGE(C3:N3),1)</f>
        <v>69</v>
      </c>
      <c r="C3" s="3166">
        <v>65.53</v>
      </c>
      <c r="D3" s="3166">
        <v>69.31</v>
      </c>
      <c r="E3" s="3166">
        <v>68.56</v>
      </c>
      <c r="F3" s="3166">
        <v>67.040000000000006</v>
      </c>
      <c r="G3" s="3166">
        <v>64.91</v>
      </c>
      <c r="H3" s="3166">
        <v>62.21</v>
      </c>
      <c r="I3" s="3166">
        <v>65.150000000000006</v>
      </c>
      <c r="J3" s="3166">
        <v>66.95</v>
      </c>
      <c r="K3" s="3166">
        <v>71.61</v>
      </c>
      <c r="L3" s="3166">
        <v>73.14</v>
      </c>
      <c r="M3" s="3166">
        <v>74.77</v>
      </c>
      <c r="N3" s="3166">
        <v>78.34</v>
      </c>
    </row>
    <row r="4" spans="1:14">
      <c r="A4" s="3166" t="s">
        <v>2992</v>
      </c>
      <c r="B4" s="3166">
        <f>ROUND(AVERAGE(C4:N4),1)</f>
        <v>147.19999999999999</v>
      </c>
      <c r="C4" s="3166">
        <v>147.22</v>
      </c>
      <c r="D4" s="3166">
        <v>147.22</v>
      </c>
      <c r="E4" s="3166">
        <v>147.22</v>
      </c>
      <c r="F4" s="3166">
        <v>147.22</v>
      </c>
      <c r="G4" s="3166">
        <v>147.22</v>
      </c>
      <c r="H4" s="3166">
        <v>147.22</v>
      </c>
      <c r="I4" s="3166">
        <v>147.22</v>
      </c>
      <c r="J4" s="3166">
        <v>147.22</v>
      </c>
      <c r="K4" s="3166">
        <v>147.22</v>
      </c>
      <c r="L4" s="3166">
        <v>147.22</v>
      </c>
      <c r="M4" s="3166">
        <v>147.22</v>
      </c>
      <c r="N4" s="3166">
        <v>147.22</v>
      </c>
    </row>
    <row r="5" spans="1:14">
      <c r="A5" s="3166" t="s">
        <v>2993</v>
      </c>
      <c r="B5" s="3166">
        <f>ROUND(AVERAGE(C5:N5),1)</f>
        <v>132.9</v>
      </c>
      <c r="C5" s="3166">
        <v>133.33000000000001</v>
      </c>
      <c r="D5" s="3166">
        <v>133.33000000000001</v>
      </c>
      <c r="E5" s="3166">
        <v>133.33000000000001</v>
      </c>
      <c r="F5" s="3166">
        <v>133.33000000000001</v>
      </c>
      <c r="G5" s="3166">
        <v>133.33000000000001</v>
      </c>
      <c r="H5" s="3166">
        <v>133.33000000000001</v>
      </c>
      <c r="I5" s="3166">
        <v>133.33000000000001</v>
      </c>
      <c r="J5" s="3166">
        <v>133.33000000000001</v>
      </c>
      <c r="K5" s="3166">
        <v>133.33000000000001</v>
      </c>
      <c r="L5" s="3166">
        <v>133.33000000000001</v>
      </c>
      <c r="M5" s="3166">
        <v>133.33000000000001</v>
      </c>
      <c r="N5" s="3166">
        <v>128.57</v>
      </c>
    </row>
    <row r="6" spans="1:14">
      <c r="A6" s="3166" t="s">
        <v>2994</v>
      </c>
      <c r="B6" s="3166">
        <f>ROUND(AVERAGE(C6:N6),1)</f>
        <v>76</v>
      </c>
      <c r="C6" s="3166" t="s">
        <v>1203</v>
      </c>
      <c r="D6" s="3166">
        <v>64.209999999999994</v>
      </c>
      <c r="E6" s="3166">
        <v>64.209999999999994</v>
      </c>
      <c r="F6" s="3166">
        <v>55.56</v>
      </c>
      <c r="G6" s="3166">
        <v>55.56</v>
      </c>
      <c r="H6" s="3166" t="s">
        <v>1203</v>
      </c>
      <c r="I6" s="3166">
        <v>78</v>
      </c>
      <c r="J6" s="3166">
        <v>85.98</v>
      </c>
      <c r="K6" s="3166">
        <v>83.22</v>
      </c>
      <c r="L6" s="3166">
        <v>80</v>
      </c>
      <c r="M6" s="3166">
        <v>93.25</v>
      </c>
      <c r="N6" s="3166">
        <v>99.94</v>
      </c>
    </row>
    <row r="7" spans="1:14">
      <c r="A7" s="3166" t="s">
        <v>2995</v>
      </c>
      <c r="B7" s="3166">
        <f>ROUND(AVERAGE(C7:N7),1)</f>
        <v>83.3</v>
      </c>
      <c r="C7" s="3166">
        <v>83.33</v>
      </c>
      <c r="D7" s="3166">
        <v>83.33</v>
      </c>
      <c r="E7" s="3166">
        <v>83.33</v>
      </c>
      <c r="F7" s="3166">
        <v>83.33</v>
      </c>
      <c r="G7" s="3166">
        <v>83.33</v>
      </c>
      <c r="H7" s="3166">
        <v>83.33</v>
      </c>
      <c r="I7" s="3166">
        <v>83.33</v>
      </c>
      <c r="J7" s="3166">
        <v>83.33</v>
      </c>
      <c r="K7" s="3166">
        <v>83.33</v>
      </c>
      <c r="L7" s="3166">
        <v>83.33</v>
      </c>
      <c r="M7" s="3166">
        <v>83.33</v>
      </c>
      <c r="N7" s="3166">
        <v>83.33</v>
      </c>
    </row>
    <row r="8" spans="1:14">
      <c r="A8" s="3166" t="s">
        <v>2996</v>
      </c>
      <c r="B8" s="3166">
        <f>ROUND(AVERAGE(C8:N8),1)</f>
        <v>60.1</v>
      </c>
      <c r="C8" s="3166" t="s">
        <v>1203</v>
      </c>
      <c r="D8" s="3166" t="s">
        <v>1203</v>
      </c>
      <c r="E8" s="3166" t="s">
        <v>1203</v>
      </c>
      <c r="F8" s="3166" t="s">
        <v>1203</v>
      </c>
      <c r="G8" s="3166" t="s">
        <v>1203</v>
      </c>
      <c r="H8" s="3166">
        <v>59.78</v>
      </c>
      <c r="I8" s="3166">
        <v>59.78</v>
      </c>
      <c r="J8" s="3166">
        <v>59.78</v>
      </c>
      <c r="K8" s="3166">
        <v>59.78</v>
      </c>
      <c r="L8" s="3166">
        <v>59.78</v>
      </c>
      <c r="M8" s="3166" t="s">
        <v>1203</v>
      </c>
      <c r="N8" s="3166">
        <v>61.54</v>
      </c>
    </row>
    <row r="9" spans="1:14">
      <c r="A9" s="3166" t="s">
        <v>2997</v>
      </c>
      <c r="B9" s="3166">
        <f>ROUND(AVERAGE(C9:N9),1)</f>
        <v>58</v>
      </c>
      <c r="C9" s="3166">
        <v>57.99</v>
      </c>
      <c r="D9" s="3166">
        <v>57.99</v>
      </c>
      <c r="E9" s="3166">
        <v>57.99</v>
      </c>
      <c r="F9" s="3166">
        <v>57.99</v>
      </c>
      <c r="G9" s="3166">
        <v>57.99</v>
      </c>
      <c r="H9" s="3166">
        <v>57.99</v>
      </c>
      <c r="I9" s="3166">
        <v>57.99</v>
      </c>
      <c r="J9" s="3166">
        <v>57.99</v>
      </c>
      <c r="K9" s="3166">
        <v>57.99</v>
      </c>
      <c r="L9" s="3166">
        <v>57.99</v>
      </c>
      <c r="M9" s="3166">
        <v>57.99</v>
      </c>
      <c r="N9" s="3166">
        <v>57.99</v>
      </c>
    </row>
    <row r="10" spans="1:14">
      <c r="A10" s="3166" t="s">
        <v>2998</v>
      </c>
      <c r="B10" s="3572">
        <f>ROUND(AVERAGE(C10:N10),1)</f>
        <v>74.400000000000006</v>
      </c>
      <c r="C10" s="3166" t="s">
        <v>1203</v>
      </c>
      <c r="D10" s="3166">
        <v>70.44</v>
      </c>
      <c r="E10" s="3166">
        <v>69.05</v>
      </c>
      <c r="F10" s="3166">
        <v>69.05</v>
      </c>
      <c r="G10" s="3166">
        <v>73.66</v>
      </c>
      <c r="H10" s="3166">
        <v>72.37</v>
      </c>
      <c r="I10" s="3166">
        <v>75.489999999999995</v>
      </c>
      <c r="J10" s="3166">
        <v>74.63</v>
      </c>
      <c r="K10" s="3166">
        <v>75.95</v>
      </c>
      <c r="L10" s="3166">
        <v>78</v>
      </c>
      <c r="M10" s="3166">
        <v>79.930000000000007</v>
      </c>
      <c r="N10" s="3166">
        <v>79.39</v>
      </c>
    </row>
    <row r="11" spans="1:14">
      <c r="A11" s="3166" t="s">
        <v>2999</v>
      </c>
      <c r="B11" s="3166">
        <f>ROUND(AVERAGE(C11:N11),1)</f>
        <v>72.400000000000006</v>
      </c>
      <c r="C11" s="3166" t="s">
        <v>1203</v>
      </c>
      <c r="D11" s="3166">
        <v>67.34</v>
      </c>
      <c r="E11" s="3166">
        <v>68.31</v>
      </c>
      <c r="F11" s="3166">
        <v>66.239999999999995</v>
      </c>
      <c r="G11" s="3166">
        <v>65.72</v>
      </c>
      <c r="H11" s="3166">
        <v>61.78</v>
      </c>
      <c r="I11" s="3166">
        <v>76.12</v>
      </c>
      <c r="J11" s="3166">
        <v>75.2</v>
      </c>
      <c r="K11" s="3166">
        <v>73.989999999999995</v>
      </c>
      <c r="L11" s="3166">
        <v>74.03</v>
      </c>
      <c r="M11" s="3166">
        <v>83.12</v>
      </c>
      <c r="N11" s="3166">
        <v>84.82</v>
      </c>
    </row>
    <row r="12" spans="1:14">
      <c r="A12" s="3166" t="s">
        <v>3000</v>
      </c>
      <c r="B12" s="3166">
        <f>ROUND(AVERAGE(C12:N12),1)</f>
        <v>59.2</v>
      </c>
      <c r="C12" s="3166" t="s">
        <v>1203</v>
      </c>
      <c r="D12" s="3166">
        <v>53.99</v>
      </c>
      <c r="E12" s="3166">
        <v>58.36</v>
      </c>
      <c r="F12" s="3166">
        <v>55.19</v>
      </c>
      <c r="G12" s="3166">
        <v>58.09</v>
      </c>
      <c r="H12" s="3166">
        <v>64.849999999999994</v>
      </c>
      <c r="I12" s="3166">
        <v>66.98</v>
      </c>
      <c r="J12" s="3166">
        <v>64.290000000000006</v>
      </c>
      <c r="K12" s="3166">
        <v>58.07</v>
      </c>
      <c r="L12" s="3166">
        <v>58.9</v>
      </c>
      <c r="M12" s="3166">
        <v>57.19</v>
      </c>
      <c r="N12" s="3166">
        <v>55.19</v>
      </c>
    </row>
    <row r="13" spans="1:14">
      <c r="A13" s="3166" t="s">
        <v>3001</v>
      </c>
      <c r="B13" s="3166">
        <f>ROUND(AVERAGE(C13:N13),1)</f>
        <v>68.900000000000006</v>
      </c>
      <c r="C13" s="3166">
        <v>67.36</v>
      </c>
      <c r="D13" s="3166">
        <v>68.14</v>
      </c>
      <c r="E13" s="3166">
        <v>67.22</v>
      </c>
      <c r="F13" s="3166">
        <v>67.2</v>
      </c>
      <c r="G13" s="3166">
        <v>66.38</v>
      </c>
      <c r="H13" s="3166">
        <v>67.040000000000006</v>
      </c>
      <c r="I13" s="3166">
        <v>65.069999999999993</v>
      </c>
      <c r="J13" s="3166">
        <v>67.040000000000006</v>
      </c>
      <c r="K13" s="3166">
        <v>74.959999999999994</v>
      </c>
      <c r="L13" s="3166">
        <v>78.930000000000007</v>
      </c>
      <c r="M13" s="3166">
        <v>71.900000000000006</v>
      </c>
      <c r="N13" s="3166">
        <v>65.64</v>
      </c>
    </row>
    <row r="14" spans="1:14">
      <c r="A14" s="3166" t="s">
        <v>3002</v>
      </c>
      <c r="B14" s="3166">
        <f>ROUND(AVERAGE(C14:N14),1)</f>
        <v>66.7</v>
      </c>
      <c r="C14" s="3166">
        <v>66.709999999999994</v>
      </c>
      <c r="D14" s="3166">
        <v>66.709999999999994</v>
      </c>
      <c r="E14" s="3166">
        <v>66.709999999999994</v>
      </c>
      <c r="F14" s="3166">
        <v>66.709999999999994</v>
      </c>
      <c r="G14" s="3166">
        <v>66.709999999999994</v>
      </c>
      <c r="H14" s="3166">
        <v>66.709999999999994</v>
      </c>
      <c r="I14" s="3166">
        <v>66.709999999999994</v>
      </c>
      <c r="J14" s="3166">
        <v>66.709999999999994</v>
      </c>
      <c r="K14" s="3166">
        <v>66.709999999999994</v>
      </c>
      <c r="L14" s="3166">
        <v>66.709999999999994</v>
      </c>
      <c r="M14" s="3166">
        <v>66.709999999999994</v>
      </c>
      <c r="N14" s="3166">
        <v>66.709999999999994</v>
      </c>
    </row>
    <row r="15" spans="1:14">
      <c r="A15" s="3166" t="s">
        <v>3003</v>
      </c>
      <c r="B15" s="3166">
        <f>ROUND(AVERAGE(C15:N15),1)</f>
        <v>66.3</v>
      </c>
      <c r="C15" s="3166" t="s">
        <v>1203</v>
      </c>
      <c r="D15" s="3166">
        <v>73.08</v>
      </c>
      <c r="E15" s="3166">
        <v>69.569999999999993</v>
      </c>
      <c r="F15" s="3166">
        <v>71.209999999999994</v>
      </c>
      <c r="G15" s="3166">
        <v>72.31</v>
      </c>
      <c r="H15" s="3166">
        <v>53.86</v>
      </c>
      <c r="I15" s="3166">
        <v>61.14</v>
      </c>
      <c r="J15" s="3166">
        <v>62.96</v>
      </c>
      <c r="K15" s="3166" t="s">
        <v>1203</v>
      </c>
      <c r="L15" s="3166" t="s">
        <v>1203</v>
      </c>
      <c r="M15" s="3166" t="s">
        <v>1203</v>
      </c>
      <c r="N15" s="3166" t="s">
        <v>1203</v>
      </c>
    </row>
    <row r="16" spans="1:14">
      <c r="A16" s="3166" t="s">
        <v>3004</v>
      </c>
      <c r="B16" s="3166">
        <f>ROUND(AVERAGE(C16:N16),1)</f>
        <v>54.2</v>
      </c>
      <c r="C16" s="3166" t="s">
        <v>1203</v>
      </c>
      <c r="D16" s="3166">
        <v>58.82</v>
      </c>
      <c r="E16" s="3166">
        <v>54.62</v>
      </c>
      <c r="F16" s="3166">
        <v>54.23</v>
      </c>
      <c r="G16" s="3166">
        <v>54.41</v>
      </c>
      <c r="H16" s="3166">
        <v>56.17</v>
      </c>
      <c r="I16" s="3166">
        <v>55.64</v>
      </c>
      <c r="J16" s="3166">
        <v>48.16</v>
      </c>
      <c r="K16" s="3166">
        <v>48.46</v>
      </c>
      <c r="L16" s="3166">
        <v>50.13</v>
      </c>
      <c r="M16" s="3166">
        <v>54.93</v>
      </c>
      <c r="N16" s="3166">
        <v>60.82</v>
      </c>
    </row>
    <row r="17" spans="1:14">
      <c r="A17" s="3166" t="s">
        <v>3005</v>
      </c>
      <c r="B17" s="3166">
        <f>ROUND(AVERAGE(C17:N17),1)</f>
        <v>61</v>
      </c>
      <c r="C17" s="3166">
        <v>60</v>
      </c>
      <c r="D17" s="3166" t="s">
        <v>1203</v>
      </c>
      <c r="E17" s="3166" t="s">
        <v>1203</v>
      </c>
      <c r="F17" s="3166" t="s">
        <v>1203</v>
      </c>
      <c r="G17" s="3166" t="s">
        <v>1203</v>
      </c>
      <c r="H17" s="3166">
        <v>61.83</v>
      </c>
      <c r="I17" s="3166">
        <v>60.42</v>
      </c>
      <c r="J17" s="3166">
        <v>58.73</v>
      </c>
      <c r="K17" s="3166">
        <v>61.93</v>
      </c>
      <c r="L17" s="3166">
        <v>64.14</v>
      </c>
      <c r="M17" s="3166">
        <v>61.59</v>
      </c>
      <c r="N17" s="3166">
        <v>59.25</v>
      </c>
    </row>
    <row r="18" spans="1:14">
      <c r="A18" s="3166" t="s">
        <v>3006</v>
      </c>
      <c r="B18" s="3166">
        <f>ROUND(AVERAGE(C18:N18),1)</f>
        <v>36.799999999999997</v>
      </c>
      <c r="C18" s="3166">
        <v>36.840000000000003</v>
      </c>
      <c r="D18" s="3166">
        <v>36.840000000000003</v>
      </c>
      <c r="E18" s="3166">
        <v>36.840000000000003</v>
      </c>
      <c r="F18" s="3166">
        <v>36.840000000000003</v>
      </c>
      <c r="G18" s="3166">
        <v>36.840000000000003</v>
      </c>
      <c r="H18" s="3166">
        <v>36.840000000000003</v>
      </c>
      <c r="I18" s="3166">
        <v>36.840000000000003</v>
      </c>
      <c r="J18" s="3166">
        <v>36.840000000000003</v>
      </c>
      <c r="K18" s="3166">
        <v>36.840000000000003</v>
      </c>
      <c r="L18" s="3166">
        <v>36.840000000000003</v>
      </c>
      <c r="M18" s="3166">
        <v>36.840000000000003</v>
      </c>
      <c r="N18" s="3166">
        <v>36.840000000000003</v>
      </c>
    </row>
    <row r="19" spans="1:14">
      <c r="A19" s="3166" t="s">
        <v>3007</v>
      </c>
      <c r="B19" s="3572">
        <f>ROUND(AVERAGE(C19:N19),1)</f>
        <v>71</v>
      </c>
      <c r="C19" s="3166" t="s">
        <v>1203</v>
      </c>
      <c r="D19" s="3166">
        <v>65.78</v>
      </c>
      <c r="E19" s="3166">
        <v>67.28</v>
      </c>
      <c r="F19" s="3166">
        <v>68.47</v>
      </c>
      <c r="G19" s="3166">
        <v>70.03</v>
      </c>
      <c r="H19" s="3166">
        <v>69.03</v>
      </c>
      <c r="I19" s="3166">
        <v>66.77</v>
      </c>
      <c r="J19" s="3166">
        <v>67.650000000000006</v>
      </c>
      <c r="K19" s="3166">
        <v>72.760000000000005</v>
      </c>
      <c r="L19" s="3166">
        <v>73.19</v>
      </c>
      <c r="M19" s="3166">
        <v>77.290000000000006</v>
      </c>
      <c r="N19" s="3166">
        <v>82.56</v>
      </c>
    </row>
    <row r="20" spans="1:14">
      <c r="A20" s="3166" t="s">
        <v>3008</v>
      </c>
      <c r="B20" s="3166">
        <f>ROUND(AVERAGE(C20:N20),1)</f>
        <v>95.5</v>
      </c>
      <c r="C20" s="3166">
        <v>95.49</v>
      </c>
      <c r="D20" s="3166">
        <v>95.49</v>
      </c>
      <c r="E20" s="3166">
        <v>95.49</v>
      </c>
      <c r="F20" s="3166">
        <v>95.49</v>
      </c>
      <c r="G20" s="3166">
        <v>95.49</v>
      </c>
      <c r="H20" s="3166">
        <v>95.49</v>
      </c>
      <c r="I20" s="3166">
        <v>95.49</v>
      </c>
      <c r="J20" s="3166">
        <v>95.49</v>
      </c>
      <c r="K20" s="3166">
        <v>95.49</v>
      </c>
      <c r="L20" s="3166">
        <v>95.49</v>
      </c>
      <c r="M20" s="3166">
        <v>95.49</v>
      </c>
      <c r="N20" s="3166">
        <v>95.49</v>
      </c>
    </row>
    <row r="21" spans="1:14">
      <c r="A21" s="3166" t="s">
        <v>3009</v>
      </c>
      <c r="B21" s="3166">
        <f>ROUND(AVERAGE(C21:N21),1)</f>
        <v>70.8</v>
      </c>
      <c r="C21" s="3166">
        <v>81.67</v>
      </c>
      <c r="D21" s="3166">
        <v>68.31</v>
      </c>
      <c r="E21" s="3166">
        <v>69.16</v>
      </c>
      <c r="F21" s="3166">
        <v>69.900000000000006</v>
      </c>
      <c r="G21" s="3166">
        <v>68.63</v>
      </c>
      <c r="H21" s="3166">
        <v>66.510000000000005</v>
      </c>
      <c r="I21" s="3166">
        <v>67.180000000000007</v>
      </c>
      <c r="J21" s="3166">
        <v>69.13</v>
      </c>
      <c r="K21" s="3166">
        <v>70.13</v>
      </c>
      <c r="L21" s="3166">
        <v>71.36</v>
      </c>
      <c r="M21" s="3166">
        <v>72.67</v>
      </c>
      <c r="N21" s="3166">
        <v>74.819999999999993</v>
      </c>
    </row>
    <row r="22" spans="1:14">
      <c r="A22" s="3166" t="s">
        <v>3010</v>
      </c>
      <c r="B22" s="3166">
        <f>ROUND(AVERAGE(C22:N22),1)</f>
        <v>26.3</v>
      </c>
      <c r="C22" s="3166">
        <v>26.32</v>
      </c>
      <c r="D22" s="3166">
        <v>26.32</v>
      </c>
      <c r="E22" s="3166">
        <v>26.32</v>
      </c>
      <c r="F22" s="3166">
        <v>26.32</v>
      </c>
      <c r="G22" s="3166">
        <v>26.32</v>
      </c>
      <c r="H22" s="3166">
        <v>26.32</v>
      </c>
      <c r="I22" s="3166">
        <v>26.32</v>
      </c>
      <c r="J22" s="3166">
        <v>26.32</v>
      </c>
      <c r="K22" s="3166">
        <v>26.32</v>
      </c>
      <c r="L22" s="3166">
        <v>26.32</v>
      </c>
      <c r="M22" s="3166">
        <v>26.32</v>
      </c>
      <c r="N22" s="3166">
        <v>26.32</v>
      </c>
    </row>
    <row r="23" spans="1:14">
      <c r="A23" s="3166" t="s">
        <v>3011</v>
      </c>
      <c r="B23" s="3166">
        <f>ROUND(AVERAGE(C23:N23),1)</f>
        <v>13.4</v>
      </c>
      <c r="C23" s="3166">
        <v>13.44</v>
      </c>
      <c r="D23" s="3166">
        <v>13.44</v>
      </c>
      <c r="E23" s="3166">
        <v>13.44</v>
      </c>
      <c r="F23" s="3166">
        <v>13.44</v>
      </c>
      <c r="G23" s="3166">
        <v>13.44</v>
      </c>
      <c r="H23" s="3166">
        <v>13.44</v>
      </c>
      <c r="I23" s="3166">
        <v>13.44</v>
      </c>
      <c r="J23" s="3166">
        <v>13.44</v>
      </c>
      <c r="K23" s="3166">
        <v>13.44</v>
      </c>
      <c r="L23" s="3166">
        <v>13.44</v>
      </c>
      <c r="M23" s="3166">
        <v>13.44</v>
      </c>
      <c r="N23" s="3166">
        <v>13.44</v>
      </c>
    </row>
    <row r="24" spans="1:14">
      <c r="A24" s="3166" t="s">
        <v>3012</v>
      </c>
      <c r="B24" s="3166">
        <f>ROUND(AVERAGE(C24:N24),1)</f>
        <v>66</v>
      </c>
      <c r="C24" s="3166">
        <v>65.62</v>
      </c>
      <c r="D24" s="3166">
        <v>66.81</v>
      </c>
      <c r="E24" s="3166">
        <v>67.92</v>
      </c>
      <c r="F24" s="3166">
        <v>67.599999999999994</v>
      </c>
      <c r="G24" s="3166">
        <v>66.2</v>
      </c>
      <c r="H24" s="3166">
        <v>65.75</v>
      </c>
      <c r="I24" s="3166">
        <v>64.010000000000005</v>
      </c>
      <c r="J24" s="3166">
        <v>64.3</v>
      </c>
      <c r="K24" s="3166">
        <v>64.81</v>
      </c>
      <c r="L24" s="3166">
        <v>66.39</v>
      </c>
      <c r="M24" s="3166">
        <v>65.959999999999994</v>
      </c>
      <c r="N24" s="3166">
        <v>66.930000000000007</v>
      </c>
    </row>
    <row r="25" spans="1:14">
      <c r="A25" s="3166" t="s">
        <v>3013</v>
      </c>
      <c r="B25" s="3166">
        <f>ROUND(AVERAGE(C25:N25),1)</f>
        <v>68.5</v>
      </c>
      <c r="C25" s="3166">
        <v>62.08</v>
      </c>
      <c r="D25" s="3166">
        <v>63.56</v>
      </c>
      <c r="E25" s="3166">
        <v>71.27</v>
      </c>
      <c r="F25" s="3166">
        <v>73.66</v>
      </c>
      <c r="G25" s="3166">
        <v>69.13</v>
      </c>
      <c r="H25" s="3166">
        <v>65.7</v>
      </c>
      <c r="I25" s="3166">
        <v>65.05</v>
      </c>
      <c r="J25" s="3166">
        <v>65.58</v>
      </c>
      <c r="K25" s="3166">
        <v>69.760000000000005</v>
      </c>
      <c r="L25" s="3166">
        <v>73.84</v>
      </c>
      <c r="M25" s="3166">
        <v>74.239999999999995</v>
      </c>
      <c r="N25" s="3166">
        <v>68.16</v>
      </c>
    </row>
    <row r="26" spans="1:14">
      <c r="A26" s="3166" t="s">
        <v>3014</v>
      </c>
      <c r="B26" s="3166">
        <f>ROUND(AVERAGE(C26:N26),1)</f>
        <v>61.1</v>
      </c>
      <c r="C26" s="3166">
        <v>44.64</v>
      </c>
      <c r="D26" s="3166">
        <v>44.64</v>
      </c>
      <c r="E26" s="3166" t="s">
        <v>1203</v>
      </c>
      <c r="F26" s="3166" t="s">
        <v>1203</v>
      </c>
      <c r="G26" s="3166" t="s">
        <v>1203</v>
      </c>
      <c r="H26" s="3166" t="s">
        <v>1203</v>
      </c>
      <c r="I26" s="3166" t="s">
        <v>1203</v>
      </c>
      <c r="J26" s="3166" t="s">
        <v>1203</v>
      </c>
      <c r="K26" s="3166">
        <v>70.11</v>
      </c>
      <c r="L26" s="3166">
        <v>73.11</v>
      </c>
      <c r="M26" s="3166">
        <v>73.11</v>
      </c>
      <c r="N26" s="3166" t="s">
        <v>1203</v>
      </c>
    </row>
    <row r="27" spans="1:14">
      <c r="A27" s="3166" t="s">
        <v>3015</v>
      </c>
      <c r="B27" s="3166">
        <f>ROUND(AVERAGE(C27:N27),1)</f>
        <v>55.1</v>
      </c>
      <c r="C27" s="3166">
        <v>54.9</v>
      </c>
      <c r="D27" s="3166">
        <v>54.23</v>
      </c>
      <c r="E27" s="3166">
        <v>54.1</v>
      </c>
      <c r="F27" s="3166">
        <v>56.4</v>
      </c>
      <c r="G27" s="3166">
        <v>58.47</v>
      </c>
      <c r="H27" s="3166">
        <v>55.73</v>
      </c>
      <c r="I27" s="3166">
        <v>54.6</v>
      </c>
      <c r="J27" s="3166">
        <v>54.41</v>
      </c>
      <c r="K27" s="3166">
        <v>54.17</v>
      </c>
      <c r="L27" s="3166">
        <v>54.07</v>
      </c>
      <c r="M27" s="3166">
        <v>55</v>
      </c>
      <c r="N27" s="3166">
        <v>54.61</v>
      </c>
    </row>
    <row r="28" spans="1:14">
      <c r="A28" s="3166" t="s">
        <v>3016</v>
      </c>
      <c r="B28" s="3166">
        <f>ROUND(AVERAGE(C28:N28),1)</f>
        <v>72.3</v>
      </c>
      <c r="C28" s="3166" t="s">
        <v>1203</v>
      </c>
      <c r="D28" s="3166">
        <v>71.67</v>
      </c>
      <c r="E28" s="3166">
        <v>75.67</v>
      </c>
      <c r="F28" s="3166">
        <v>74.59</v>
      </c>
      <c r="G28" s="3166">
        <v>76.2</v>
      </c>
      <c r="H28" s="3166">
        <v>76.930000000000007</v>
      </c>
      <c r="I28" s="3166">
        <v>70</v>
      </c>
      <c r="J28" s="3166">
        <v>69.97</v>
      </c>
      <c r="K28" s="3166">
        <v>70.19</v>
      </c>
      <c r="L28" s="3166">
        <v>65.95</v>
      </c>
      <c r="M28" s="3166">
        <v>68.16</v>
      </c>
      <c r="N28" s="3166">
        <v>76.05</v>
      </c>
    </row>
    <row r="29" spans="1:14">
      <c r="A29" s="3166" t="s">
        <v>3017</v>
      </c>
      <c r="B29" s="3166">
        <f>ROUND(AVERAGE(C29:N29),1)</f>
        <v>68.8</v>
      </c>
      <c r="C29" s="3166" t="s">
        <v>1203</v>
      </c>
      <c r="D29" s="3166">
        <v>66.400000000000006</v>
      </c>
      <c r="E29" s="3166">
        <v>66.400000000000006</v>
      </c>
      <c r="F29" s="3166" t="s">
        <v>1203</v>
      </c>
      <c r="G29" s="3166" t="s">
        <v>1203</v>
      </c>
      <c r="H29" s="3166">
        <v>71.19</v>
      </c>
      <c r="I29" s="3166">
        <v>71.19</v>
      </c>
      <c r="J29" s="3166" t="s">
        <v>1203</v>
      </c>
      <c r="K29" s="3166" t="s">
        <v>1203</v>
      </c>
      <c r="L29" s="3166" t="s">
        <v>1203</v>
      </c>
      <c r="M29" s="3166" t="s">
        <v>1203</v>
      </c>
      <c r="N29" s="3166" t="s">
        <v>1203</v>
      </c>
    </row>
    <row r="30" spans="1:14">
      <c r="A30" s="3166" t="s">
        <v>3018</v>
      </c>
      <c r="B30" s="3166">
        <f>ROUND(AVERAGE(C30:N30),1)</f>
        <v>33.299999999999997</v>
      </c>
      <c r="C30" s="3166">
        <v>33.33</v>
      </c>
      <c r="D30" s="3166">
        <v>33.33</v>
      </c>
      <c r="E30" s="3166">
        <v>33.33</v>
      </c>
      <c r="F30" s="3166">
        <v>33.33</v>
      </c>
      <c r="G30" s="3166">
        <v>33.33</v>
      </c>
      <c r="H30" s="3166">
        <v>33.33</v>
      </c>
      <c r="I30" s="3166">
        <v>33.33</v>
      </c>
      <c r="J30" s="3166">
        <v>33.33</v>
      </c>
      <c r="K30" s="3166">
        <v>33.33</v>
      </c>
      <c r="L30" s="3166">
        <v>33.33</v>
      </c>
      <c r="M30" s="3166">
        <v>33.33</v>
      </c>
      <c r="N30" s="3166">
        <v>33.33</v>
      </c>
    </row>
    <row r="31" spans="1:14">
      <c r="A31" s="3166" t="s">
        <v>3019</v>
      </c>
      <c r="B31" s="3166">
        <f>ROUND(AVERAGE(C31:N31),1)</f>
        <v>111.9</v>
      </c>
      <c r="C31" s="3166">
        <v>111.94</v>
      </c>
      <c r="D31" s="3166">
        <v>111.94</v>
      </c>
      <c r="E31" s="3166">
        <v>111.94</v>
      </c>
      <c r="F31" s="3166">
        <v>111.94</v>
      </c>
      <c r="G31" s="3166">
        <v>111.94</v>
      </c>
      <c r="H31" s="3166">
        <v>111.94</v>
      </c>
      <c r="I31" s="3166">
        <v>111.94</v>
      </c>
      <c r="J31" s="3166">
        <v>111.94</v>
      </c>
      <c r="K31" s="3166">
        <v>111.94</v>
      </c>
      <c r="L31" s="3166">
        <v>111.94</v>
      </c>
      <c r="M31" s="3166">
        <v>111.94</v>
      </c>
      <c r="N31" s="3166">
        <v>111.94</v>
      </c>
    </row>
    <row r="32" spans="1:14">
      <c r="A32" s="3166" t="s">
        <v>3020</v>
      </c>
      <c r="B32" s="3166">
        <f>ROUND(AVERAGE(C32:N32),1)</f>
        <v>53.5</v>
      </c>
      <c r="C32" s="3166">
        <v>114.29</v>
      </c>
      <c r="D32" s="3166">
        <v>39.979999999999997</v>
      </c>
      <c r="E32" s="3166">
        <v>44.53</v>
      </c>
      <c r="F32" s="3166">
        <v>46.91</v>
      </c>
      <c r="G32" s="3166">
        <v>57.74</v>
      </c>
      <c r="H32" s="3166">
        <v>69.17</v>
      </c>
      <c r="I32" s="3166">
        <v>39.840000000000003</v>
      </c>
      <c r="J32" s="3166">
        <v>31.95</v>
      </c>
      <c r="K32" s="3166">
        <v>46.65</v>
      </c>
      <c r="L32" s="3166">
        <v>53.47</v>
      </c>
      <c r="M32" s="3166">
        <v>48.91</v>
      </c>
      <c r="N32" s="3166">
        <v>48.05</v>
      </c>
    </row>
    <row r="33" spans="1:14">
      <c r="A33" s="3166" t="s">
        <v>3021</v>
      </c>
      <c r="B33" s="3572">
        <f>ROUND(AVERAGE(C33:N33),1)</f>
        <v>57.9</v>
      </c>
      <c r="C33" s="3166">
        <v>48.39</v>
      </c>
      <c r="D33" s="3166">
        <v>67.5</v>
      </c>
      <c r="E33" s="3166">
        <v>68.989999999999995</v>
      </c>
      <c r="F33" s="3166">
        <v>56.54</v>
      </c>
      <c r="G33" s="3166">
        <v>52.64</v>
      </c>
      <c r="H33" s="3166">
        <v>52.39</v>
      </c>
      <c r="I33" s="3166">
        <v>52.44</v>
      </c>
      <c r="J33" s="3166">
        <v>56.03</v>
      </c>
      <c r="K33" s="3166">
        <v>58.91</v>
      </c>
      <c r="L33" s="3166">
        <v>64.89</v>
      </c>
      <c r="M33" s="3166" t="s">
        <v>1203</v>
      </c>
      <c r="N33" s="3166" t="s">
        <v>1203</v>
      </c>
    </row>
    <row r="34" spans="1:14">
      <c r="A34" s="3166" t="s">
        <v>3022</v>
      </c>
      <c r="B34" s="3166">
        <f>ROUND(AVERAGE(C34:N34),1)</f>
        <v>82.7</v>
      </c>
      <c r="C34" s="3166">
        <v>99.88</v>
      </c>
      <c r="D34" s="3166">
        <v>99.88</v>
      </c>
      <c r="E34" s="3166">
        <v>99.88</v>
      </c>
      <c r="F34" s="3166">
        <v>99.88</v>
      </c>
      <c r="G34" s="3166">
        <v>99.88</v>
      </c>
      <c r="H34" s="3166">
        <v>70.849999999999994</v>
      </c>
      <c r="I34" s="3166">
        <v>74.53</v>
      </c>
      <c r="J34" s="3166">
        <v>73.92</v>
      </c>
      <c r="K34" s="3166">
        <v>74.63</v>
      </c>
      <c r="L34" s="3166">
        <v>69.94</v>
      </c>
      <c r="M34" s="3166">
        <v>64.67</v>
      </c>
      <c r="N34" s="3166">
        <v>64.819999999999993</v>
      </c>
    </row>
    <row r="35" spans="1:14">
      <c r="A35" s="3166" t="s">
        <v>3023</v>
      </c>
      <c r="B35" s="3166">
        <f>ROUND(AVERAGE(C35:N35),1)</f>
        <v>36.1</v>
      </c>
      <c r="C35" s="3166">
        <v>36.06</v>
      </c>
      <c r="D35" s="3166">
        <v>36.06</v>
      </c>
      <c r="E35" s="3166">
        <v>36.06</v>
      </c>
      <c r="F35" s="3166">
        <v>36.06</v>
      </c>
      <c r="G35" s="3166">
        <v>36.06</v>
      </c>
      <c r="H35" s="3166">
        <v>36.06</v>
      </c>
      <c r="I35" s="3166">
        <v>36.06</v>
      </c>
      <c r="J35" s="3166">
        <v>36.06</v>
      </c>
      <c r="K35" s="3166">
        <v>36.06</v>
      </c>
      <c r="L35" s="3166">
        <v>36.06</v>
      </c>
      <c r="M35" s="3166">
        <v>36.06</v>
      </c>
      <c r="N35" s="3166">
        <v>36.06</v>
      </c>
    </row>
    <row r="36" spans="1:14">
      <c r="A36" s="3166" t="s">
        <v>3024</v>
      </c>
      <c r="B36" s="3166">
        <f>ROUND(AVERAGE(C36:N36),1)</f>
        <v>61.3</v>
      </c>
      <c r="C36" s="3166" t="s">
        <v>1203</v>
      </c>
      <c r="D36" s="3166">
        <v>63.44</v>
      </c>
      <c r="E36" s="3166">
        <v>60.79</v>
      </c>
      <c r="F36" s="3166">
        <v>62.64</v>
      </c>
      <c r="G36" s="3166">
        <v>63.05</v>
      </c>
      <c r="H36" s="3166">
        <v>57.71</v>
      </c>
      <c r="I36" s="3166">
        <v>60.78</v>
      </c>
      <c r="J36" s="3166">
        <v>62.46</v>
      </c>
      <c r="K36" s="3166">
        <v>61.37</v>
      </c>
      <c r="L36" s="3166">
        <v>62.33</v>
      </c>
      <c r="M36" s="3166">
        <v>59.68</v>
      </c>
      <c r="N36" s="3166">
        <v>59.7</v>
      </c>
    </row>
    <row r="37" spans="1:14">
      <c r="A37" s="3166" t="s">
        <v>3025</v>
      </c>
      <c r="B37" s="3166">
        <f>ROUND(AVERAGE(C37:N37),1)</f>
        <v>76.099999999999994</v>
      </c>
      <c r="C37" s="3166">
        <v>150</v>
      </c>
      <c r="D37" s="3166">
        <v>69.459999999999994</v>
      </c>
      <c r="E37" s="3166">
        <v>68.680000000000007</v>
      </c>
      <c r="F37" s="3166">
        <v>70.599999999999994</v>
      </c>
      <c r="G37" s="3166">
        <v>70.83</v>
      </c>
      <c r="H37" s="3166">
        <v>66.31</v>
      </c>
      <c r="I37" s="3166">
        <v>67.180000000000007</v>
      </c>
      <c r="J37" s="3166">
        <v>68.63</v>
      </c>
      <c r="K37" s="3166">
        <v>67.87</v>
      </c>
      <c r="L37" s="3166">
        <v>70.52</v>
      </c>
      <c r="M37" s="3166">
        <v>72.84</v>
      </c>
      <c r="N37" s="3166">
        <v>69.91</v>
      </c>
    </row>
    <row r="38" spans="1:14">
      <c r="A38" s="3166" t="s">
        <v>3026</v>
      </c>
      <c r="B38" s="3166">
        <f>ROUND(AVERAGE(C38:N38),1)</f>
        <v>73.900000000000006</v>
      </c>
      <c r="C38" s="3166">
        <v>74.260000000000005</v>
      </c>
      <c r="D38" s="3166">
        <v>78.39</v>
      </c>
      <c r="E38" s="3166">
        <v>74.59</v>
      </c>
      <c r="F38" s="3166">
        <v>68.540000000000006</v>
      </c>
      <c r="G38" s="3166">
        <v>66.150000000000006</v>
      </c>
      <c r="H38" s="3166">
        <v>65.92</v>
      </c>
      <c r="I38" s="3166">
        <v>67.400000000000006</v>
      </c>
      <c r="J38" s="3166">
        <v>68.08</v>
      </c>
      <c r="K38" s="3166">
        <v>76.900000000000006</v>
      </c>
      <c r="L38" s="3166">
        <v>83.9</v>
      </c>
      <c r="M38" s="3166">
        <v>82.61</v>
      </c>
      <c r="N38" s="3166">
        <v>79.760000000000005</v>
      </c>
    </row>
    <row r="39" spans="1:14">
      <c r="A39" s="3166" t="s">
        <v>3027</v>
      </c>
      <c r="B39" s="3166">
        <f>ROUND(AVERAGE(C39:N39),1)</f>
        <v>78.3</v>
      </c>
      <c r="C39" s="3166">
        <v>76.92</v>
      </c>
      <c r="D39" s="3166" t="s">
        <v>1203</v>
      </c>
      <c r="E39" s="3166" t="s">
        <v>1203</v>
      </c>
      <c r="F39" s="3166" t="s">
        <v>1203</v>
      </c>
      <c r="G39" s="3166" t="s">
        <v>1203</v>
      </c>
      <c r="H39" s="3166" t="s">
        <v>1203</v>
      </c>
      <c r="I39" s="3166" t="s">
        <v>1203</v>
      </c>
      <c r="J39" s="3166">
        <v>79.06</v>
      </c>
      <c r="K39" s="3166">
        <v>79.06</v>
      </c>
      <c r="L39" s="3166" t="s">
        <v>1203</v>
      </c>
      <c r="M39" s="3166" t="s">
        <v>1203</v>
      </c>
      <c r="N39" s="3166" t="s">
        <v>1203</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431" t="s">
        <v>2254</v>
      </c>
      <c r="D4" s="3432"/>
      <c r="E4" s="3433" t="s">
        <v>2255</v>
      </c>
      <c r="F4" s="3434"/>
      <c r="G4" s="3431" t="s">
        <v>2256</v>
      </c>
      <c r="H4" s="3432"/>
      <c r="I4" s="3431" t="s">
        <v>2257</v>
      </c>
      <c r="J4" s="3432"/>
      <c r="K4" s="1965" t="s">
        <v>2258</v>
      </c>
      <c r="L4" s="2999"/>
      <c r="M4" s="3000"/>
      <c r="N4" s="3000"/>
      <c r="O4" s="3000"/>
      <c r="P4" s="3435" t="s">
        <v>2259</v>
      </c>
      <c r="Q4" s="3436"/>
      <c r="R4" s="3441" t="s">
        <v>2255</v>
      </c>
      <c r="S4" s="3442"/>
      <c r="T4" s="3441" t="s">
        <v>2256</v>
      </c>
      <c r="U4" s="3442"/>
      <c r="V4" s="3447" t="s">
        <v>2257</v>
      </c>
      <c r="W4" s="3447"/>
      <c r="X4" s="2074"/>
      <c r="Y4" s="3441" t="s">
        <v>2259</v>
      </c>
      <c r="Z4" s="3442"/>
      <c r="AA4" s="3428" t="s">
        <v>2255</v>
      </c>
      <c r="AB4" s="3447" t="s">
        <v>2256</v>
      </c>
      <c r="AC4" s="3428" t="s">
        <v>2257</v>
      </c>
    </row>
    <row r="5" spans="1:29">
      <c r="A5" s="1668"/>
      <c r="B5" s="1669"/>
      <c r="C5" s="3478" t="s">
        <v>2260</v>
      </c>
      <c r="D5" s="3451"/>
      <c r="E5" s="3479" t="s">
        <v>2261</v>
      </c>
      <c r="F5" s="3449"/>
      <c r="G5" s="3478" t="s">
        <v>2262</v>
      </c>
      <c r="H5" s="3451"/>
      <c r="I5" s="3478" t="s">
        <v>2263</v>
      </c>
      <c r="J5" s="3451"/>
      <c r="K5" s="1965"/>
      <c r="L5" s="2999"/>
      <c r="M5" s="3000"/>
      <c r="N5" s="3000"/>
      <c r="O5" s="3000"/>
      <c r="P5" s="3437"/>
      <c r="Q5" s="3438"/>
      <c r="R5" s="3443"/>
      <c r="S5" s="3444"/>
      <c r="T5" s="3443"/>
      <c r="U5" s="3444"/>
      <c r="V5" s="3447"/>
      <c r="W5" s="3447"/>
      <c r="X5" s="2074"/>
      <c r="Y5" s="3443"/>
      <c r="Z5" s="3444"/>
      <c r="AA5" s="3429"/>
      <c r="AB5" s="3447"/>
      <c r="AC5" s="3429"/>
    </row>
    <row r="6" spans="1:29" ht="15" thickBot="1">
      <c r="A6" s="1671"/>
      <c r="B6" s="1672"/>
      <c r="C6" s="3463" t="s">
        <v>2264</v>
      </c>
      <c r="D6" s="3453"/>
      <c r="E6" s="3477" t="s">
        <v>2900</v>
      </c>
      <c r="F6" s="3455"/>
      <c r="G6" s="3452" t="s">
        <v>2901</v>
      </c>
      <c r="H6" s="3453"/>
      <c r="I6" s="3452" t="s">
        <v>2902</v>
      </c>
      <c r="J6" s="3453"/>
      <c r="K6" s="1965" t="s">
        <v>2265</v>
      </c>
      <c r="L6" s="2999"/>
      <c r="M6" s="3000"/>
      <c r="N6" s="3000"/>
      <c r="O6" s="3000"/>
      <c r="P6" s="3439"/>
      <c r="Q6" s="3440"/>
      <c r="R6" s="3443"/>
      <c r="S6" s="3444"/>
      <c r="T6" s="3445"/>
      <c r="U6" s="3446"/>
      <c r="V6" s="3447"/>
      <c r="W6" s="3447"/>
      <c r="X6" s="2074"/>
      <c r="Y6" s="3445"/>
      <c r="Z6" s="3446"/>
      <c r="AA6" s="3430"/>
      <c r="AB6" s="3447"/>
      <c r="AC6" s="3430"/>
    </row>
    <row r="7" spans="1:29" s="1685" customFormat="1" ht="15" thickBot="1">
      <c r="A7" s="1673" t="s">
        <v>2266</v>
      </c>
      <c r="B7" s="1674"/>
      <c r="C7" s="1675">
        <f>'数据-取费表'!B2</f>
        <v>45513</v>
      </c>
      <c r="D7" s="1676">
        <v>100</v>
      </c>
      <c r="E7" s="1677">
        <f>C7</f>
        <v>45513</v>
      </c>
      <c r="F7" s="1678">
        <f>SUMIF(58:58,YEAR(E7)&amp;"-"&amp;MONTH(E7),59:59)</f>
        <v>100</v>
      </c>
      <c r="G7" s="1677">
        <f>C7</f>
        <v>45513</v>
      </c>
      <c r="H7" s="1676">
        <f>SUMIF(58:58,YEAR(G7)&amp;"-"&amp;MONTH(G7),59:59)</f>
        <v>100</v>
      </c>
      <c r="I7" s="1677">
        <f>C7</f>
        <v>45513</v>
      </c>
      <c r="J7" s="1676">
        <f>SUMIF(58:58,YEAR(I7)&amp;"-"&amp;MONTH(I7),59:59)</f>
        <v>100</v>
      </c>
      <c r="K7" s="1967"/>
      <c r="L7" s="2999"/>
      <c r="M7" s="2972"/>
      <c r="N7" s="2972"/>
      <c r="O7" s="2972"/>
      <c r="P7" s="3464" t="s">
        <v>2267</v>
      </c>
      <c r="Q7" s="3466"/>
      <c r="R7" s="1681" t="s">
        <v>25</v>
      </c>
      <c r="S7" s="1682">
        <f t="shared" ref="S7:S15" si="0">F7</f>
        <v>100</v>
      </c>
      <c r="T7" s="1681" t="s">
        <v>25</v>
      </c>
      <c r="U7" s="1682">
        <f t="shared" ref="U7:U15" si="1">H7</f>
        <v>100</v>
      </c>
      <c r="V7" s="1681" t="s">
        <v>25</v>
      </c>
      <c r="W7" s="1682">
        <f t="shared" ref="W7:W15" si="2">J7</f>
        <v>100</v>
      </c>
      <c r="X7" s="1683"/>
      <c r="Y7" s="3464" t="s">
        <v>2267</v>
      </c>
      <c r="Z7" s="3465"/>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64" t="s">
        <v>2270</v>
      </c>
      <c r="Q8" s="3465"/>
      <c r="R8" s="1681" t="s">
        <v>25</v>
      </c>
      <c r="S8" s="1682">
        <f t="shared" si="0"/>
        <v>100</v>
      </c>
      <c r="T8" s="1681" t="s">
        <v>25</v>
      </c>
      <c r="U8" s="1682">
        <f t="shared" si="1"/>
        <v>100</v>
      </c>
      <c r="V8" s="1681" t="s">
        <v>25</v>
      </c>
      <c r="W8" s="1682">
        <f t="shared" si="2"/>
        <v>100</v>
      </c>
      <c r="X8" s="1683"/>
      <c r="Y8" s="3464" t="s">
        <v>2270</v>
      </c>
      <c r="Z8" s="3465"/>
      <c r="AA8" s="1684">
        <f t="shared" ref="AA8:AA46" si="3">D8/F8</f>
        <v>1</v>
      </c>
      <c r="AB8" s="1684">
        <f t="shared" ref="AB8:AB46" si="4">D8/H8</f>
        <v>1</v>
      </c>
      <c r="AC8" s="1684">
        <f t="shared" ref="AC8:AC46" si="5">D8/J8</f>
        <v>1</v>
      </c>
    </row>
    <row r="9" spans="1:29" s="1685" customFormat="1" ht="14.4">
      <c r="A9" s="2066" t="s">
        <v>2271</v>
      </c>
      <c r="B9" s="1688" t="s">
        <v>2272</v>
      </c>
      <c r="C9" s="3152" t="s">
        <v>2904</v>
      </c>
      <c r="D9" s="1689">
        <v>100</v>
      </c>
      <c r="E9" s="1690" t="s">
        <v>2903</v>
      </c>
      <c r="F9" s="1691">
        <f>SUMIF(63:63,E9,64:64)-SUMIF(63:63,C9,64:64)+100</f>
        <v>100</v>
      </c>
      <c r="G9" s="1690" t="s">
        <v>2903</v>
      </c>
      <c r="H9" s="1689">
        <f>SUMIF(63:63,G9,64:64)-SUMIF(63:63,C9,64:64)+100</f>
        <v>100</v>
      </c>
      <c r="I9" s="1690" t="s">
        <v>2903</v>
      </c>
      <c r="J9" s="1689">
        <f>SUMIF(63:63,I9,64:64)-SUMIF(63:63,C9,64:64)+100</f>
        <v>100</v>
      </c>
      <c r="K9" s="1967"/>
      <c r="L9" s="2999"/>
      <c r="M9" s="2972"/>
      <c r="N9" s="2972"/>
      <c r="O9" s="2972"/>
      <c r="P9" s="3467" t="s">
        <v>2273</v>
      </c>
      <c r="Q9" s="2065" t="str">
        <f t="shared" ref="Q9:Q15" si="6">B9</f>
        <v>用途</v>
      </c>
      <c r="R9" s="1681" t="s">
        <v>25</v>
      </c>
      <c r="S9" s="1682">
        <f t="shared" si="0"/>
        <v>100</v>
      </c>
      <c r="T9" s="1681" t="s">
        <v>25</v>
      </c>
      <c r="U9" s="1682">
        <f t="shared" si="1"/>
        <v>100</v>
      </c>
      <c r="V9" s="1681" t="s">
        <v>25</v>
      </c>
      <c r="W9" s="1682">
        <f t="shared" si="2"/>
        <v>100</v>
      </c>
      <c r="X9" s="1683"/>
      <c r="Y9" s="3329" t="s">
        <v>2274</v>
      </c>
      <c r="Z9" s="1693" t="str">
        <f t="shared" ref="Z9:Z15" si="7">Q9</f>
        <v>用途</v>
      </c>
      <c r="AA9" s="1684">
        <f t="shared" si="3"/>
        <v>1</v>
      </c>
      <c r="AB9" s="1684">
        <f t="shared" si="4"/>
        <v>1</v>
      </c>
      <c r="AC9" s="1684">
        <f t="shared" si="5"/>
        <v>1</v>
      </c>
    </row>
    <row r="10" spans="1:29" s="1701" customFormat="1" ht="28.8">
      <c r="A10" s="1694"/>
      <c r="B10" s="1695" t="s">
        <v>2275</v>
      </c>
      <c r="C10" s="1696" t="s">
        <v>2905</v>
      </c>
      <c r="D10" s="1697">
        <v>100</v>
      </c>
      <c r="E10" s="1696" t="s">
        <v>2905</v>
      </c>
      <c r="F10" s="1699">
        <f>SUMIF(65:65,E10,66:66)-SUMIF(65:65,C10,66:66)+100</f>
        <v>100</v>
      </c>
      <c r="G10" s="1696" t="s">
        <v>2905</v>
      </c>
      <c r="H10" s="1697">
        <f>SUMIF(65:65,G10,66:66)-SUMIF(65:65,C10,66:66)+100</f>
        <v>100</v>
      </c>
      <c r="I10" s="1696" t="s">
        <v>2905</v>
      </c>
      <c r="J10" s="1697">
        <f>SUMIF(65:65,I10,66:66)-SUMIF(65:65,C10,66:66)+100</f>
        <v>100</v>
      </c>
      <c r="K10" s="1992">
        <v>2</v>
      </c>
      <c r="L10" s="3001"/>
      <c r="M10" s="3002"/>
      <c r="N10" s="3002"/>
      <c r="O10" s="3002"/>
      <c r="P10" s="3467"/>
      <c r="Q10" s="2065" t="str">
        <f t="shared" si="6"/>
        <v>土地使用年限（年）</v>
      </c>
      <c r="R10" s="1681" t="s">
        <v>25</v>
      </c>
      <c r="S10" s="1682">
        <f t="shared" si="0"/>
        <v>100</v>
      </c>
      <c r="T10" s="1681" t="s">
        <v>25</v>
      </c>
      <c r="U10" s="1682">
        <f t="shared" si="1"/>
        <v>100</v>
      </c>
      <c r="V10" s="1681" t="s">
        <v>25</v>
      </c>
      <c r="W10" s="1682">
        <f t="shared" si="2"/>
        <v>100</v>
      </c>
      <c r="X10" s="1683"/>
      <c r="Y10" s="3329"/>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67"/>
      <c r="Q11" s="2065" t="str">
        <f t="shared" si="6"/>
        <v>容积率</v>
      </c>
      <c r="R11" s="1681" t="s">
        <v>25</v>
      </c>
      <c r="S11" s="1682">
        <f t="shared" si="0"/>
        <v>100</v>
      </c>
      <c r="T11" s="1681" t="s">
        <v>25</v>
      </c>
      <c r="U11" s="1682">
        <f t="shared" si="1"/>
        <v>100</v>
      </c>
      <c r="V11" s="1681" t="s">
        <v>25</v>
      </c>
      <c r="W11" s="1682">
        <f t="shared" si="2"/>
        <v>100</v>
      </c>
      <c r="X11" s="1683"/>
      <c r="Y11" s="3329"/>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67"/>
      <c r="Q12" s="2065">
        <f t="shared" si="6"/>
        <v>111</v>
      </c>
      <c r="R12" s="1681" t="s">
        <v>25</v>
      </c>
      <c r="S12" s="1682">
        <f t="shared" si="0"/>
        <v>100</v>
      </c>
      <c r="T12" s="1681" t="s">
        <v>25</v>
      </c>
      <c r="U12" s="1682">
        <f t="shared" si="1"/>
        <v>100</v>
      </c>
      <c r="V12" s="1681" t="s">
        <v>25</v>
      </c>
      <c r="W12" s="1682">
        <f t="shared" si="2"/>
        <v>100</v>
      </c>
      <c r="X12" s="1683"/>
      <c r="Y12" s="3329"/>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67"/>
      <c r="Q13" s="2065">
        <f t="shared" si="6"/>
        <v>111</v>
      </c>
      <c r="R13" s="1681" t="s">
        <v>25</v>
      </c>
      <c r="S13" s="1682">
        <f t="shared" si="0"/>
        <v>100</v>
      </c>
      <c r="T13" s="1681" t="s">
        <v>25</v>
      </c>
      <c r="U13" s="1682">
        <f t="shared" si="1"/>
        <v>100</v>
      </c>
      <c r="V13" s="1681" t="s">
        <v>25</v>
      </c>
      <c r="W13" s="1682">
        <f t="shared" si="2"/>
        <v>100</v>
      </c>
      <c r="X13" s="1683"/>
      <c r="Y13" s="3329"/>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67"/>
      <c r="Q14" s="2065">
        <f t="shared" si="6"/>
        <v>111</v>
      </c>
      <c r="R14" s="1681" t="s">
        <v>25</v>
      </c>
      <c r="S14" s="1682">
        <f t="shared" si="0"/>
        <v>100</v>
      </c>
      <c r="T14" s="1681" t="s">
        <v>25</v>
      </c>
      <c r="U14" s="1682">
        <f t="shared" si="1"/>
        <v>100</v>
      </c>
      <c r="V14" s="1681" t="s">
        <v>25</v>
      </c>
      <c r="W14" s="1682">
        <f t="shared" si="2"/>
        <v>100</v>
      </c>
      <c r="X14" s="1683"/>
      <c r="Y14" s="3329"/>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103</v>
      </c>
      <c r="G15" s="1723"/>
      <c r="H15" s="1720">
        <f>SUMIF(76:76,G16,77:77)-SUMIF(76:76,C16,77:77)+100</f>
        <v>100</v>
      </c>
      <c r="I15" s="1721"/>
      <c r="J15" s="1720">
        <f>SUMIF(76:76,I16,77:77)-SUMIF(76:76,C16,77:77)+100</f>
        <v>100</v>
      </c>
      <c r="K15" s="2475">
        <v>3</v>
      </c>
      <c r="L15" s="3004"/>
      <c r="M15" s="3000"/>
      <c r="N15" s="3000"/>
      <c r="O15" s="3000"/>
      <c r="P15" s="3470" t="s">
        <v>2278</v>
      </c>
      <c r="Q15" s="2071" t="str">
        <f t="shared" si="6"/>
        <v>商业繁华度</v>
      </c>
      <c r="R15" s="1725" t="s">
        <v>25</v>
      </c>
      <c r="S15" s="1726">
        <f t="shared" si="0"/>
        <v>103</v>
      </c>
      <c r="T15" s="1725" t="s">
        <v>25</v>
      </c>
      <c r="U15" s="1726">
        <f t="shared" si="1"/>
        <v>100</v>
      </c>
      <c r="V15" s="1725" t="s">
        <v>25</v>
      </c>
      <c r="W15" s="1726">
        <f t="shared" si="2"/>
        <v>100</v>
      </c>
      <c r="X15" s="2074"/>
      <c r="Y15" s="3456" t="s">
        <v>2278</v>
      </c>
      <c r="Z15" s="2078" t="str">
        <f t="shared" si="7"/>
        <v>商业繁华度</v>
      </c>
      <c r="AA15" s="2069">
        <f t="shared" si="3"/>
        <v>0.970873786407767</v>
      </c>
      <c r="AB15" s="2069">
        <f t="shared" si="4"/>
        <v>1</v>
      </c>
      <c r="AC15" s="2069">
        <f t="shared" si="5"/>
        <v>1</v>
      </c>
    </row>
    <row r="16" spans="1:29" ht="15">
      <c r="A16" s="1702"/>
      <c r="B16" s="1729"/>
      <c r="C16" s="1730" t="s">
        <v>31</v>
      </c>
      <c r="D16" s="1731"/>
      <c r="E16" s="1730" t="s">
        <v>30</v>
      </c>
      <c r="F16" s="1733"/>
      <c r="G16" s="1730" t="s">
        <v>31</v>
      </c>
      <c r="H16" s="1735"/>
      <c r="I16" s="1730" t="s">
        <v>31</v>
      </c>
      <c r="J16" s="1731"/>
      <c r="K16" s="2476"/>
      <c r="L16" s="3004"/>
      <c r="M16" s="3000"/>
      <c r="N16" s="3000"/>
      <c r="O16" s="3000"/>
      <c r="P16" s="3471"/>
      <c r="Q16" s="2071"/>
      <c r="R16" s="1725"/>
      <c r="S16" s="1726"/>
      <c r="T16" s="1725"/>
      <c r="U16" s="1726"/>
      <c r="V16" s="1725"/>
      <c r="W16" s="1726"/>
      <c r="X16" s="2074"/>
      <c r="Y16" s="3457"/>
      <c r="Z16" s="2078"/>
      <c r="AA16" s="2069">
        <v>1</v>
      </c>
      <c r="AB16" s="2069">
        <v>1</v>
      </c>
      <c r="AC16" s="2069">
        <v>1</v>
      </c>
    </row>
    <row r="17" spans="1:29" ht="179.4">
      <c r="A17" s="1702"/>
      <c r="B17" s="1737" t="s">
        <v>1713</v>
      </c>
      <c r="C17" s="1738" t="str">
        <f>估价对象房地状况!C6</f>
        <v>估价对象周边有专98路、33路、快速直达专线83、481路、507路、632路、85路、40路等多条公交线路，距地铁6号线（慈寿寺）约小于1公里，综合评价交通便捷度较好</v>
      </c>
      <c r="D17" s="1735">
        <v>100</v>
      </c>
      <c r="E17" s="1739"/>
      <c r="F17" s="1740">
        <f>SUMIF(78:78,E18,79:79)-SUMIF(78:78,C18,79:79)+100</f>
        <v>98</v>
      </c>
      <c r="G17" s="1741"/>
      <c r="H17" s="1742">
        <f>SUMIF(78:78,G18,79:79)-SUMIF(78:78,C18,79:79)+100</f>
        <v>100</v>
      </c>
      <c r="I17" s="1739"/>
      <c r="J17" s="1742">
        <f>SUMIF(78:78,I18,79:79)-SUMIF(78:78,C18,79:79)+100</f>
        <v>100</v>
      </c>
      <c r="K17" s="2475">
        <v>2</v>
      </c>
      <c r="L17" s="3004"/>
      <c r="M17" s="3000"/>
      <c r="N17" s="3000"/>
      <c r="O17" s="3000"/>
      <c r="P17" s="3471"/>
      <c r="Q17" s="2071" t="str">
        <f>B17</f>
        <v>交通便捷度</v>
      </c>
      <c r="R17" s="1725" t="s">
        <v>25</v>
      </c>
      <c r="S17" s="1726">
        <f>F17</f>
        <v>98</v>
      </c>
      <c r="T17" s="1725" t="s">
        <v>25</v>
      </c>
      <c r="U17" s="1726">
        <f>H17</f>
        <v>100</v>
      </c>
      <c r="V17" s="1725" t="s">
        <v>25</v>
      </c>
      <c r="W17" s="1726">
        <f>J17</f>
        <v>100</v>
      </c>
      <c r="X17" s="2074"/>
      <c r="Y17" s="3457"/>
      <c r="Z17" s="2078" t="str">
        <f>Q17</f>
        <v>交通便捷度</v>
      </c>
      <c r="AA17" s="2069">
        <f t="shared" si="3"/>
        <v>1.0204081632653061</v>
      </c>
      <c r="AB17" s="2069">
        <f t="shared" si="4"/>
        <v>1</v>
      </c>
      <c r="AC17" s="2069">
        <f t="shared" si="5"/>
        <v>1</v>
      </c>
    </row>
    <row r="18" spans="1:29" ht="15">
      <c r="A18" s="1702"/>
      <c r="B18" s="1743"/>
      <c r="C18" s="1744" t="s">
        <v>29</v>
      </c>
      <c r="D18" s="1735"/>
      <c r="E18" s="1745" t="s">
        <v>30</v>
      </c>
      <c r="F18" s="1740"/>
      <c r="G18" s="1744" t="s">
        <v>29</v>
      </c>
      <c r="H18" s="1731"/>
      <c r="I18" s="1744" t="s">
        <v>29</v>
      </c>
      <c r="J18" s="1731"/>
      <c r="K18" s="2476"/>
      <c r="L18" s="3004"/>
      <c r="M18" s="3000"/>
      <c r="N18" s="3000"/>
      <c r="O18" s="3000"/>
      <c r="P18" s="3471"/>
      <c r="Q18" s="2071"/>
      <c r="R18" s="1725"/>
      <c r="S18" s="1726"/>
      <c r="T18" s="1725"/>
      <c r="U18" s="1726"/>
      <c r="V18" s="1725"/>
      <c r="W18" s="1726"/>
      <c r="X18" s="2074"/>
      <c r="Y18" s="3457"/>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71"/>
      <c r="Q19" s="2071" t="str">
        <f>B19</f>
        <v>公共配套设施</v>
      </c>
      <c r="R19" s="1725" t="s">
        <v>25</v>
      </c>
      <c r="S19" s="1726">
        <f>F19</f>
        <v>100</v>
      </c>
      <c r="T19" s="1725" t="s">
        <v>25</v>
      </c>
      <c r="U19" s="1726">
        <f>H19</f>
        <v>100</v>
      </c>
      <c r="V19" s="1725" t="s">
        <v>25</v>
      </c>
      <c r="W19" s="1726">
        <f>J19</f>
        <v>100</v>
      </c>
      <c r="X19" s="2074"/>
      <c r="Y19" s="3457"/>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71"/>
      <c r="Q20" s="2071"/>
      <c r="R20" s="1725"/>
      <c r="S20" s="1726"/>
      <c r="T20" s="1725"/>
      <c r="U20" s="1726"/>
      <c r="V20" s="1725"/>
      <c r="W20" s="1726"/>
      <c r="X20" s="2074"/>
      <c r="Y20" s="3457"/>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71"/>
      <c r="Q21" s="2071" t="str">
        <f>B21</f>
        <v>基础设施水平</v>
      </c>
      <c r="R21" s="1725" t="s">
        <v>25</v>
      </c>
      <c r="S21" s="1726">
        <f>F21</f>
        <v>100</v>
      </c>
      <c r="T21" s="1725" t="s">
        <v>25</v>
      </c>
      <c r="U21" s="1726">
        <f>H21</f>
        <v>100</v>
      </c>
      <c r="V21" s="1725" t="s">
        <v>25</v>
      </c>
      <c r="W21" s="1726">
        <f>J21</f>
        <v>100</v>
      </c>
      <c r="X21" s="2074"/>
      <c r="Y21" s="3457"/>
      <c r="Z21" s="2078" t="str">
        <f>Q21</f>
        <v>基础设施水平</v>
      </c>
      <c r="AA21" s="2069">
        <f t="shared" ref="AA21" si="8">D21/F21</f>
        <v>1</v>
      </c>
      <c r="AB21" s="2069">
        <f t="shared" ref="AB21" si="9">D21/H21</f>
        <v>1</v>
      </c>
      <c r="AC21" s="2069">
        <f t="shared" ref="AC21" si="10">D21/J21</f>
        <v>1</v>
      </c>
    </row>
    <row r="22" spans="1:29" ht="15">
      <c r="A22" s="1702"/>
      <c r="B22" s="1750"/>
      <c r="C22" s="1744" t="s">
        <v>2906</v>
      </c>
      <c r="D22" s="1731"/>
      <c r="E22" s="1744" t="s">
        <v>2906</v>
      </c>
      <c r="F22" s="1733"/>
      <c r="G22" s="1744" t="s">
        <v>2906</v>
      </c>
      <c r="H22" s="1731"/>
      <c r="I22" s="1744" t="s">
        <v>2906</v>
      </c>
      <c r="J22" s="1731"/>
      <c r="K22" s="2477"/>
      <c r="L22" s="3004"/>
      <c r="M22" s="3000"/>
      <c r="N22" s="3000"/>
      <c r="O22" s="3000"/>
      <c r="P22" s="3471"/>
      <c r="Q22" s="2071"/>
      <c r="R22" s="1725"/>
      <c r="S22" s="1726"/>
      <c r="T22" s="1725"/>
      <c r="U22" s="1726"/>
      <c r="V22" s="1725"/>
      <c r="W22" s="1726"/>
      <c r="X22" s="2074"/>
      <c r="Y22" s="3457"/>
      <c r="Z22" s="2078"/>
      <c r="AA22" s="2069">
        <v>1</v>
      </c>
      <c r="AB22" s="2069">
        <v>1</v>
      </c>
      <c r="AC22" s="2069">
        <v>1</v>
      </c>
    </row>
    <row r="23" spans="1:29" ht="110.4">
      <c r="A23" s="1702"/>
      <c r="B23" s="1737" t="s">
        <v>1715</v>
      </c>
      <c r="C23" s="2478" t="str">
        <f>估价对象房地状况!C9</f>
        <v>区域自然环境：玲珑公园、京密引水渠；人文环境：宝联体育公园等；综合评价环境状况较好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71"/>
      <c r="Q23" s="2071" t="str">
        <f>B23</f>
        <v>自然及人文环境</v>
      </c>
      <c r="R23" s="1725" t="s">
        <v>25</v>
      </c>
      <c r="S23" s="1726">
        <f>F23</f>
        <v>100</v>
      </c>
      <c r="T23" s="1725" t="s">
        <v>25</v>
      </c>
      <c r="U23" s="1726">
        <f>H23</f>
        <v>100</v>
      </c>
      <c r="V23" s="1725" t="s">
        <v>25</v>
      </c>
      <c r="W23" s="1726">
        <f>J23</f>
        <v>100</v>
      </c>
      <c r="X23" s="2074"/>
      <c r="Y23" s="3457"/>
      <c r="Z23" s="2078" t="str">
        <f>Q23</f>
        <v>自然及人文环境</v>
      </c>
      <c r="AA23" s="2069">
        <f t="shared" si="3"/>
        <v>1</v>
      </c>
      <c r="AB23" s="2069">
        <f t="shared" si="4"/>
        <v>1</v>
      </c>
      <c r="AC23" s="2069">
        <f t="shared" si="5"/>
        <v>1</v>
      </c>
    </row>
    <row r="24" spans="1:29" ht="15">
      <c r="A24" s="1702"/>
      <c r="B24" s="1743"/>
      <c r="C24" s="1730" t="s">
        <v>30</v>
      </c>
      <c r="D24" s="1731"/>
      <c r="E24" s="1730" t="s">
        <v>30</v>
      </c>
      <c r="F24" s="1733"/>
      <c r="G24" s="1730" t="s">
        <v>30</v>
      </c>
      <c r="H24" s="1731"/>
      <c r="I24" s="1730" t="s">
        <v>30</v>
      </c>
      <c r="J24" s="1731"/>
      <c r="K24" s="2476"/>
      <c r="L24" s="3004"/>
      <c r="M24" s="3000"/>
      <c r="N24" s="3000"/>
      <c r="O24" s="3000"/>
      <c r="P24" s="3471"/>
      <c r="Q24" s="2071"/>
      <c r="R24" s="1725"/>
      <c r="S24" s="1726"/>
      <c r="T24" s="1725"/>
      <c r="U24" s="1726"/>
      <c r="V24" s="1725"/>
      <c r="W24" s="1726"/>
      <c r="X24" s="2074"/>
      <c r="Y24" s="3457"/>
      <c r="Z24" s="2078"/>
      <c r="AA24" s="2069">
        <v>1</v>
      </c>
      <c r="AB24" s="2069">
        <v>1</v>
      </c>
      <c r="AC24" s="2069">
        <v>1</v>
      </c>
    </row>
    <row r="25" spans="1:29" ht="15">
      <c r="A25" s="1702"/>
      <c r="B25" s="1695" t="s">
        <v>2365</v>
      </c>
      <c r="C25" s="1991" t="s">
        <v>2907</v>
      </c>
      <c r="D25" s="1711">
        <v>100</v>
      </c>
      <c r="E25" s="1991" t="s">
        <v>2907</v>
      </c>
      <c r="F25" s="1754">
        <f>SUMIF(86:86,E25,87:87)-SUMIF(86:86,C25,87:87)+100</f>
        <v>100</v>
      </c>
      <c r="G25" s="1991" t="s">
        <v>2907</v>
      </c>
      <c r="H25" s="1711">
        <f>SUMIF(86:86,G25,87:87)-SUMIF(86:86,C25,87:87)+100</f>
        <v>100</v>
      </c>
      <c r="I25" s="1991" t="s">
        <v>2907</v>
      </c>
      <c r="J25" s="1711">
        <f>SUMIF(86:86,I25,87:87)-SUMIF(86:86,C25,87:87)+100</f>
        <v>100</v>
      </c>
      <c r="K25" s="1992">
        <v>3</v>
      </c>
      <c r="L25" s="3004"/>
      <c r="M25" s="3000"/>
      <c r="N25" s="3000"/>
      <c r="O25" s="3000"/>
      <c r="P25" s="3471"/>
      <c r="Q25" s="2071" t="str">
        <f t="shared" ref="Q25:Q46" si="11">B25</f>
        <v>临街状况</v>
      </c>
      <c r="R25" s="1725" t="s">
        <v>25</v>
      </c>
      <c r="S25" s="1726">
        <f>F25</f>
        <v>100</v>
      </c>
      <c r="T25" s="1725" t="s">
        <v>25</v>
      </c>
      <c r="U25" s="1726">
        <f>H25</f>
        <v>100</v>
      </c>
      <c r="V25" s="1725" t="s">
        <v>25</v>
      </c>
      <c r="W25" s="1726">
        <f>J25</f>
        <v>100</v>
      </c>
      <c r="X25" s="2074"/>
      <c r="Y25" s="3457"/>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71"/>
      <c r="Q26" s="2071" t="str">
        <f t="shared" si="11"/>
        <v>平面位置/可视性</v>
      </c>
      <c r="R26" s="1725" t="s">
        <v>25</v>
      </c>
      <c r="S26" s="1726">
        <f>F26</f>
        <v>100</v>
      </c>
      <c r="T26" s="1725" t="s">
        <v>25</v>
      </c>
      <c r="U26" s="1726">
        <f>H26</f>
        <v>100</v>
      </c>
      <c r="V26" s="1725" t="s">
        <v>25</v>
      </c>
      <c r="W26" s="1726">
        <f>J26</f>
        <v>100</v>
      </c>
      <c r="X26" s="2074"/>
      <c r="Y26" s="3457"/>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31</v>
      </c>
      <c r="F27" s="1758">
        <f>SUMIF(90:90,E27,91:91)-SUMIF(90:90,C27,91:91)+100</f>
        <v>100</v>
      </c>
      <c r="G27" s="2479" t="s">
        <v>31</v>
      </c>
      <c r="H27" s="1756">
        <f>SUMIF(90:90,G27,91:91)-SUMIF(90:90,C27,91:91)+100</f>
        <v>100</v>
      </c>
      <c r="I27" s="2479" t="s">
        <v>31</v>
      </c>
      <c r="J27" s="1756">
        <f>SUMIF(90:90,I27,91:91)-SUMIF(90:90,C27,91:91)+100</f>
        <v>100</v>
      </c>
      <c r="K27" s="1992">
        <v>3</v>
      </c>
      <c r="L27" s="2999"/>
      <c r="M27" s="2972"/>
      <c r="N27" s="2972"/>
      <c r="O27" s="2972"/>
      <c r="P27" s="3471"/>
      <c r="Q27" s="2065" t="str">
        <f t="shared" si="11"/>
        <v>人流量</v>
      </c>
      <c r="R27" s="1681" t="s">
        <v>25</v>
      </c>
      <c r="S27" s="1682">
        <f>F27</f>
        <v>100</v>
      </c>
      <c r="T27" s="1681" t="s">
        <v>25</v>
      </c>
      <c r="U27" s="1682">
        <f>H27</f>
        <v>100</v>
      </c>
      <c r="V27" s="1681" t="s">
        <v>25</v>
      </c>
      <c r="W27" s="1682">
        <f>J27</f>
        <v>100</v>
      </c>
      <c r="X27" s="1683"/>
      <c r="Y27" s="3457"/>
      <c r="Z27" s="1693" t="str">
        <f>Q27</f>
        <v>人流量</v>
      </c>
      <c r="AA27" s="2069">
        <f>D27/F27</f>
        <v>1</v>
      </c>
      <c r="AB27" s="2069">
        <f>D27/H27</f>
        <v>1</v>
      </c>
      <c r="AC27" s="2069">
        <f>D27/J27</f>
        <v>1</v>
      </c>
    </row>
    <row r="28" spans="1:29" ht="15">
      <c r="A28" s="1702"/>
      <c r="B28" s="1695" t="s">
        <v>2368</v>
      </c>
      <c r="C28" s="1991" t="s">
        <v>2912</v>
      </c>
      <c r="D28" s="1711">
        <v>100</v>
      </c>
      <c r="E28" s="1991" t="s">
        <v>2910</v>
      </c>
      <c r="F28" s="1754">
        <f>SUMIF(92:92,E28,93:93)-SUMIF(92:92,C28,93:93)+100</f>
        <v>120</v>
      </c>
      <c r="G28" s="1991" t="s">
        <v>2910</v>
      </c>
      <c r="H28" s="1711">
        <f>SUMIF(92:92,G28,93:93)-SUMIF(92:92,C28,93:93)+100</f>
        <v>120</v>
      </c>
      <c r="I28" s="1991" t="s">
        <v>2910</v>
      </c>
      <c r="J28" s="1711">
        <f>SUMIF(92:92,I28,93:93)-SUMIF(92:92,C28,93:93)+100</f>
        <v>120</v>
      </c>
      <c r="K28" s="1989"/>
      <c r="L28" s="3004"/>
      <c r="M28" s="3000"/>
      <c r="N28" s="3000"/>
      <c r="O28" s="3000"/>
      <c r="P28" s="3471"/>
      <c r="Q28" s="2071" t="str">
        <f t="shared" si="11"/>
        <v>楼层</v>
      </c>
      <c r="R28" s="1725" t="s">
        <v>25</v>
      </c>
      <c r="S28" s="1726">
        <f t="shared" ref="S28:S46" si="12">F28</f>
        <v>120</v>
      </c>
      <c r="T28" s="1725" t="s">
        <v>25</v>
      </c>
      <c r="U28" s="1726">
        <f t="shared" ref="U28:U46" si="13">H28</f>
        <v>120</v>
      </c>
      <c r="V28" s="1725" t="s">
        <v>25</v>
      </c>
      <c r="W28" s="1726">
        <f t="shared" ref="W28:W46" si="14">J28</f>
        <v>120</v>
      </c>
      <c r="X28" s="2074"/>
      <c r="Y28" s="3457"/>
      <c r="Z28" s="2078" t="str">
        <f t="shared" ref="Z28:Z46" si="15">Q28</f>
        <v>楼层</v>
      </c>
      <c r="AA28" s="2069">
        <f t="shared" si="3"/>
        <v>0.83333333333333337</v>
      </c>
      <c r="AB28" s="2069">
        <f t="shared" si="4"/>
        <v>0.83333333333333337</v>
      </c>
      <c r="AC28" s="2069">
        <f t="shared" si="5"/>
        <v>0.83333333333333337</v>
      </c>
    </row>
    <row r="29" spans="1:29" ht="15">
      <c r="A29" s="1702"/>
      <c r="B29" s="3155" t="s">
        <v>2919</v>
      </c>
      <c r="C29" s="3156" t="s">
        <v>2935</v>
      </c>
      <c r="D29" s="1711">
        <v>100</v>
      </c>
      <c r="E29" s="3156" t="s">
        <v>2923</v>
      </c>
      <c r="F29" s="1754">
        <f>SUMIF(94:94,E29,95:95)-SUMIF(94:94,C29,95:95)+100</f>
        <v>97</v>
      </c>
      <c r="G29" s="3156" t="s">
        <v>2923</v>
      </c>
      <c r="H29" s="1711">
        <f>SUMIF(94:94,G29,95:95)-SUMIF(94:94,C29,95:95)+100</f>
        <v>97</v>
      </c>
      <c r="I29" s="3156" t="s">
        <v>2923</v>
      </c>
      <c r="J29" s="1711">
        <f>SUMIF(94:94,I29,95:95)-SUMIF(94:94,C29,95:95)+100</f>
        <v>97</v>
      </c>
      <c r="K29" s="1989"/>
      <c r="L29" s="3004"/>
      <c r="M29" s="3000"/>
      <c r="N29" s="3000"/>
      <c r="O29" s="3000"/>
      <c r="P29" s="3471"/>
      <c r="Q29" s="2071" t="str">
        <f t="shared" si="11"/>
        <v>临道路级别</v>
      </c>
      <c r="R29" s="1725" t="s">
        <v>25</v>
      </c>
      <c r="S29" s="1726">
        <f t="shared" si="12"/>
        <v>97</v>
      </c>
      <c r="T29" s="1725" t="s">
        <v>25</v>
      </c>
      <c r="U29" s="1726">
        <f t="shared" si="13"/>
        <v>97</v>
      </c>
      <c r="V29" s="1725" t="s">
        <v>25</v>
      </c>
      <c r="W29" s="1726">
        <f t="shared" si="14"/>
        <v>97</v>
      </c>
      <c r="X29" s="2074"/>
      <c r="Y29" s="3457"/>
      <c r="Z29" s="2078" t="str">
        <f t="shared" si="15"/>
        <v>临道路级别</v>
      </c>
      <c r="AA29" s="2069">
        <f t="shared" si="3"/>
        <v>1.0309278350515463</v>
      </c>
      <c r="AB29" s="2069">
        <f t="shared" si="4"/>
        <v>1.0309278350515463</v>
      </c>
      <c r="AC29" s="2069">
        <f t="shared" si="5"/>
        <v>1.0309278350515463</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71"/>
      <c r="Q30" s="2071">
        <f t="shared" si="11"/>
        <v>111</v>
      </c>
      <c r="R30" s="1725" t="s">
        <v>25</v>
      </c>
      <c r="S30" s="1726">
        <f t="shared" si="12"/>
        <v>100</v>
      </c>
      <c r="T30" s="1725" t="s">
        <v>25</v>
      </c>
      <c r="U30" s="1726">
        <f t="shared" si="13"/>
        <v>100</v>
      </c>
      <c r="V30" s="1725" t="s">
        <v>25</v>
      </c>
      <c r="W30" s="1726">
        <f t="shared" si="14"/>
        <v>100</v>
      </c>
      <c r="X30" s="2074"/>
      <c r="Y30" s="3457"/>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71"/>
      <c r="Q31" s="2071">
        <f t="shared" si="11"/>
        <v>111</v>
      </c>
      <c r="R31" s="1725" t="s">
        <v>25</v>
      </c>
      <c r="S31" s="1726">
        <f t="shared" si="12"/>
        <v>100</v>
      </c>
      <c r="T31" s="1725" t="s">
        <v>25</v>
      </c>
      <c r="U31" s="1726">
        <f t="shared" si="13"/>
        <v>100</v>
      </c>
      <c r="V31" s="1725" t="s">
        <v>25</v>
      </c>
      <c r="W31" s="1726">
        <f t="shared" si="14"/>
        <v>100</v>
      </c>
      <c r="X31" s="2074"/>
      <c r="Y31" s="3457"/>
      <c r="Z31" s="2078">
        <f t="shared" si="15"/>
        <v>111</v>
      </c>
      <c r="AA31" s="2069">
        <f t="shared" si="3"/>
        <v>1</v>
      </c>
      <c r="AB31" s="2069">
        <f t="shared" si="4"/>
        <v>1</v>
      </c>
      <c r="AC31" s="2069">
        <f t="shared" si="5"/>
        <v>1</v>
      </c>
    </row>
    <row r="32" spans="1:29" ht="15">
      <c r="A32" s="1717" t="s">
        <v>2282</v>
      </c>
      <c r="B32" s="1688" t="s">
        <v>2369</v>
      </c>
      <c r="C32" s="1761" t="s">
        <v>2925</v>
      </c>
      <c r="D32" s="1762">
        <v>100</v>
      </c>
      <c r="E32" s="1761" t="s">
        <v>2927</v>
      </c>
      <c r="F32" s="1754">
        <f>SUMIF(100:100,E32,101:101)-SUMIF(100:100,C32,101:101)+100</f>
        <v>98</v>
      </c>
      <c r="G32" s="1761" t="s">
        <v>2927</v>
      </c>
      <c r="H32" s="1711">
        <f>SUMIF(100:100,G32,101:101)-SUMIF(100:100,C32,101:101)+100</f>
        <v>98</v>
      </c>
      <c r="I32" s="1761" t="s">
        <v>2925</v>
      </c>
      <c r="J32" s="1762">
        <f>SUMIF(100:100,I32,101:101)-SUMIF(100:100,C32,101:101)+100</f>
        <v>100</v>
      </c>
      <c r="K32" s="1992">
        <v>2</v>
      </c>
      <c r="L32" s="3004"/>
      <c r="M32" s="3000"/>
      <c r="N32" s="3000"/>
      <c r="O32" s="3000"/>
      <c r="P32" s="3458" t="s">
        <v>2284</v>
      </c>
      <c r="Q32" s="2071" t="str">
        <f t="shared" si="11"/>
        <v>商业类型</v>
      </c>
      <c r="R32" s="1725" t="s">
        <v>25</v>
      </c>
      <c r="S32" s="1726">
        <f t="shared" si="12"/>
        <v>98</v>
      </c>
      <c r="T32" s="1725" t="s">
        <v>25</v>
      </c>
      <c r="U32" s="1726">
        <f t="shared" si="13"/>
        <v>98</v>
      </c>
      <c r="V32" s="1725" t="s">
        <v>25</v>
      </c>
      <c r="W32" s="1726">
        <f t="shared" si="14"/>
        <v>100</v>
      </c>
      <c r="X32" s="2074"/>
      <c r="Y32" s="3461" t="s">
        <v>2284</v>
      </c>
      <c r="Z32" s="2078" t="str">
        <f t="shared" si="15"/>
        <v>商业类型</v>
      </c>
      <c r="AA32" s="2069">
        <f t="shared" si="3"/>
        <v>1.0204081632653061</v>
      </c>
      <c r="AB32" s="2069">
        <f t="shared" si="4"/>
        <v>1.0204081632653061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59"/>
      <c r="Q33" s="1766" t="str">
        <f t="shared" si="11"/>
        <v>项目建筑规模</v>
      </c>
      <c r="R33" s="1767" t="s">
        <v>25</v>
      </c>
      <c r="S33" s="1768">
        <f t="shared" si="12"/>
        <v>100</v>
      </c>
      <c r="T33" s="1767" t="s">
        <v>25</v>
      </c>
      <c r="U33" s="1768">
        <f t="shared" si="13"/>
        <v>100</v>
      </c>
      <c r="V33" s="1767" t="s">
        <v>25</v>
      </c>
      <c r="W33" s="1768">
        <f t="shared" si="14"/>
        <v>100</v>
      </c>
      <c r="X33" s="1769"/>
      <c r="Y33" s="3461"/>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59"/>
      <c r="Q34" s="2071" t="str">
        <f t="shared" si="11"/>
        <v>建筑结构</v>
      </c>
      <c r="R34" s="1725" t="s">
        <v>25</v>
      </c>
      <c r="S34" s="1726">
        <f t="shared" si="12"/>
        <v>100</v>
      </c>
      <c r="T34" s="1725" t="s">
        <v>25</v>
      </c>
      <c r="U34" s="1726">
        <f t="shared" si="13"/>
        <v>100</v>
      </c>
      <c r="V34" s="1725" t="s">
        <v>25</v>
      </c>
      <c r="W34" s="1726">
        <f t="shared" si="14"/>
        <v>100</v>
      </c>
      <c r="X34" s="2074"/>
      <c r="Y34" s="3461"/>
      <c r="Z34" s="2078" t="str">
        <f t="shared" si="15"/>
        <v>建筑结构</v>
      </c>
      <c r="AA34" s="2069">
        <f t="shared" si="3"/>
        <v>1</v>
      </c>
      <c r="AB34" s="2069">
        <f t="shared" si="4"/>
        <v>1</v>
      </c>
      <c r="AC34" s="2069">
        <f t="shared" si="5"/>
        <v>1</v>
      </c>
    </row>
    <row r="35" spans="1:29" ht="15">
      <c r="A35" s="1772"/>
      <c r="B35" s="1695" t="s">
        <v>2370</v>
      </c>
      <c r="C35" s="1755" t="s">
        <v>2914</v>
      </c>
      <c r="D35" s="1711">
        <v>100</v>
      </c>
      <c r="E35" s="1755" t="s">
        <v>2914</v>
      </c>
      <c r="F35" s="1754">
        <f>SUMIF(107:107,E35,108:108)-SUMIF(107:107,C35,108:108)+100</f>
        <v>100</v>
      </c>
      <c r="G35" s="1755" t="s">
        <v>2914</v>
      </c>
      <c r="H35" s="1711">
        <f>SUMIF(107:107,G35,108:108)-SUMIF(107:107,C35,108:108)+100</f>
        <v>100</v>
      </c>
      <c r="I35" s="1755" t="s">
        <v>2914</v>
      </c>
      <c r="J35" s="1711">
        <f>SUMIF(107:107,I35,108:108)-SUMIF(107:107,C35,108:108)+100</f>
        <v>100</v>
      </c>
      <c r="K35" s="1992">
        <v>1</v>
      </c>
      <c r="L35" s="3004"/>
      <c r="M35" s="3000"/>
      <c r="N35" s="3000"/>
      <c r="O35" s="3000"/>
      <c r="P35" s="3459"/>
      <c r="Q35" s="2071" t="str">
        <f t="shared" si="11"/>
        <v>公共部分装修</v>
      </c>
      <c r="R35" s="1725" t="s">
        <v>25</v>
      </c>
      <c r="S35" s="1726">
        <f t="shared" si="12"/>
        <v>100</v>
      </c>
      <c r="T35" s="1725" t="s">
        <v>25</v>
      </c>
      <c r="U35" s="1726">
        <f t="shared" si="13"/>
        <v>100</v>
      </c>
      <c r="V35" s="1725" t="s">
        <v>25</v>
      </c>
      <c r="W35" s="1726">
        <f t="shared" si="14"/>
        <v>100</v>
      </c>
      <c r="X35" s="2074"/>
      <c r="Y35" s="3461"/>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59"/>
      <c r="Q36" s="2071" t="str">
        <f t="shared" si="11"/>
        <v>成新度</v>
      </c>
      <c r="R36" s="1725" t="s">
        <v>25</v>
      </c>
      <c r="S36" s="1726">
        <f t="shared" si="12"/>
        <v>100</v>
      </c>
      <c r="T36" s="1725" t="s">
        <v>25</v>
      </c>
      <c r="U36" s="1726">
        <f t="shared" si="13"/>
        <v>100</v>
      </c>
      <c r="V36" s="1725" t="s">
        <v>25</v>
      </c>
      <c r="W36" s="1726">
        <f t="shared" si="14"/>
        <v>100</v>
      </c>
      <c r="X36" s="2074"/>
      <c r="Y36" s="3461"/>
      <c r="Z36" s="2078" t="str">
        <f t="shared" si="15"/>
        <v>成新度</v>
      </c>
      <c r="AA36" s="2069">
        <f t="shared" si="3"/>
        <v>1</v>
      </c>
      <c r="AB36" s="2069">
        <f t="shared" si="4"/>
        <v>1</v>
      </c>
      <c r="AC36" s="2069">
        <f t="shared" si="5"/>
        <v>1</v>
      </c>
    </row>
    <row r="37" spans="1:29" s="1685" customFormat="1" ht="15">
      <c r="A37" s="1775"/>
      <c r="B37" s="1695" t="s">
        <v>2372</v>
      </c>
      <c r="C37" s="1755" t="s">
        <v>2906</v>
      </c>
      <c r="D37" s="1697">
        <v>100</v>
      </c>
      <c r="E37" s="1755" t="s">
        <v>2906</v>
      </c>
      <c r="F37" s="1754">
        <f>SUMIF(112:112,E37,113:113)-SUMIF(112:112,C37,113:113)+100</f>
        <v>100</v>
      </c>
      <c r="G37" s="1755" t="s">
        <v>2906</v>
      </c>
      <c r="H37" s="1711">
        <f>SUMIF(112:112,G37,113:113)-SUMIF(112:112,C37,113:113)+100</f>
        <v>100</v>
      </c>
      <c r="I37" s="1755" t="s">
        <v>2906</v>
      </c>
      <c r="J37" s="1711">
        <f>SUMIF(112:112,I37,113:113)-SUMIF(112:112,C37,113:113)+100</f>
        <v>100</v>
      </c>
      <c r="K37" s="1992">
        <v>1</v>
      </c>
      <c r="L37" s="2999"/>
      <c r="M37" s="2972"/>
      <c r="N37" s="2972"/>
      <c r="O37" s="2972"/>
      <c r="P37" s="3459"/>
      <c r="Q37" s="2065" t="str">
        <f t="shared" si="11"/>
        <v>市政基础设施</v>
      </c>
      <c r="R37" s="1681" t="s">
        <v>25</v>
      </c>
      <c r="S37" s="1682">
        <f t="shared" si="12"/>
        <v>100</v>
      </c>
      <c r="T37" s="1681" t="s">
        <v>25</v>
      </c>
      <c r="U37" s="1682">
        <f t="shared" si="13"/>
        <v>100</v>
      </c>
      <c r="V37" s="1681" t="s">
        <v>25</v>
      </c>
      <c r="W37" s="1682">
        <f t="shared" si="14"/>
        <v>100</v>
      </c>
      <c r="X37" s="1683"/>
      <c r="Y37" s="3461"/>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59" t="s">
        <v>2284</v>
      </c>
      <c r="Q38" s="2071" t="str">
        <f t="shared" si="11"/>
        <v>业态</v>
      </c>
      <c r="R38" s="1725" t="s">
        <v>25</v>
      </c>
      <c r="S38" s="1726">
        <f t="shared" si="12"/>
        <v>100</v>
      </c>
      <c r="T38" s="1725" t="s">
        <v>25</v>
      </c>
      <c r="U38" s="1726">
        <f t="shared" si="13"/>
        <v>100</v>
      </c>
      <c r="V38" s="1725" t="s">
        <v>25</v>
      </c>
      <c r="W38" s="1726">
        <f t="shared" si="14"/>
        <v>100</v>
      </c>
      <c r="X38" s="2074"/>
      <c r="Y38" s="3461" t="s">
        <v>2284</v>
      </c>
      <c r="Z38" s="2078" t="str">
        <f t="shared" si="15"/>
        <v>业态</v>
      </c>
      <c r="AA38" s="2069">
        <f t="shared" si="3"/>
        <v>1</v>
      </c>
      <c r="AB38" s="2069">
        <f t="shared" si="4"/>
        <v>1</v>
      </c>
      <c r="AC38" s="2069">
        <f t="shared" si="5"/>
        <v>1</v>
      </c>
    </row>
    <row r="39" spans="1:29" ht="15">
      <c r="A39" s="1772"/>
      <c r="B39" s="1695" t="s">
        <v>2374</v>
      </c>
      <c r="C39" s="1755" t="s">
        <v>2917</v>
      </c>
      <c r="D39" s="1711">
        <v>100</v>
      </c>
      <c r="E39" s="1755" t="s">
        <v>2917</v>
      </c>
      <c r="F39" s="1754">
        <f>SUMIF(116:116,E39,117:117)-SUMIF(116:116,C39,117:117)+100</f>
        <v>100</v>
      </c>
      <c r="G39" s="1755" t="s">
        <v>2917</v>
      </c>
      <c r="H39" s="1711">
        <f>SUMIF(116:116,G39,117:117)-SUMIF(116:116,C39,117:117)+100</f>
        <v>100</v>
      </c>
      <c r="I39" s="1755" t="s">
        <v>2917</v>
      </c>
      <c r="J39" s="1711">
        <f>SUMIF(116:116,I39,117:117)-SUMIF(116:116,C39,117:117)+100</f>
        <v>100</v>
      </c>
      <c r="K39" s="1992">
        <v>1</v>
      </c>
      <c r="L39" s="3004"/>
      <c r="M39" s="3000"/>
      <c r="N39" s="3000"/>
      <c r="O39" s="3000"/>
      <c r="P39" s="3459"/>
      <c r="Q39" s="2071" t="str">
        <f t="shared" si="11"/>
        <v>层高</v>
      </c>
      <c r="R39" s="1725" t="s">
        <v>25</v>
      </c>
      <c r="S39" s="1726">
        <f t="shared" si="12"/>
        <v>100</v>
      </c>
      <c r="T39" s="1725" t="s">
        <v>25</v>
      </c>
      <c r="U39" s="1726">
        <f t="shared" si="13"/>
        <v>100</v>
      </c>
      <c r="V39" s="1725" t="s">
        <v>25</v>
      </c>
      <c r="W39" s="1726">
        <f t="shared" si="14"/>
        <v>100</v>
      </c>
      <c r="X39" s="2074"/>
      <c r="Y39" s="3461"/>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59"/>
      <c r="Q40" s="2071" t="str">
        <f t="shared" si="11"/>
        <v>单套建筑面积</v>
      </c>
      <c r="R40" s="1725" t="s">
        <v>25</v>
      </c>
      <c r="S40" s="1726">
        <f t="shared" si="12"/>
        <v>100</v>
      </c>
      <c r="T40" s="1725" t="s">
        <v>25</v>
      </c>
      <c r="U40" s="1726">
        <f t="shared" si="13"/>
        <v>100</v>
      </c>
      <c r="V40" s="1725" t="s">
        <v>25</v>
      </c>
      <c r="W40" s="1726">
        <f t="shared" si="14"/>
        <v>100</v>
      </c>
      <c r="X40" s="2074"/>
      <c r="Y40" s="3461"/>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59"/>
      <c r="Q41" s="1766" t="str">
        <f t="shared" si="11"/>
        <v>进深比</v>
      </c>
      <c r="R41" s="1767" t="s">
        <v>25</v>
      </c>
      <c r="S41" s="1768">
        <f t="shared" si="12"/>
        <v>100</v>
      </c>
      <c r="T41" s="1767" t="s">
        <v>25</v>
      </c>
      <c r="U41" s="1768">
        <f t="shared" si="13"/>
        <v>100</v>
      </c>
      <c r="V41" s="1767" t="s">
        <v>25</v>
      </c>
      <c r="W41" s="1768">
        <f t="shared" si="14"/>
        <v>100</v>
      </c>
      <c r="X41" s="1769"/>
      <c r="Y41" s="3461"/>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59"/>
      <c r="Q42" s="2071" t="str">
        <f t="shared" si="11"/>
        <v>内部装修</v>
      </c>
      <c r="R42" s="1725" t="s">
        <v>25</v>
      </c>
      <c r="S42" s="1726">
        <f t="shared" si="12"/>
        <v>100</v>
      </c>
      <c r="T42" s="1725" t="s">
        <v>25</v>
      </c>
      <c r="U42" s="1726">
        <f t="shared" si="13"/>
        <v>100</v>
      </c>
      <c r="V42" s="1725" t="s">
        <v>25</v>
      </c>
      <c r="W42" s="1726">
        <f t="shared" si="14"/>
        <v>100</v>
      </c>
      <c r="X42" s="2074"/>
      <c r="Y42" s="3461"/>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59"/>
      <c r="Q43" s="2071" t="str">
        <f t="shared" si="11"/>
        <v>内部装修维护情况</v>
      </c>
      <c r="R43" s="1725" t="s">
        <v>25</v>
      </c>
      <c r="S43" s="1726">
        <f t="shared" si="12"/>
        <v>100</v>
      </c>
      <c r="T43" s="1725" t="s">
        <v>25</v>
      </c>
      <c r="U43" s="1726">
        <f t="shared" si="13"/>
        <v>100</v>
      </c>
      <c r="V43" s="1725" t="s">
        <v>25</v>
      </c>
      <c r="W43" s="1726">
        <f t="shared" si="14"/>
        <v>100</v>
      </c>
      <c r="X43" s="2074"/>
      <c r="Y43" s="3461"/>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59"/>
      <c r="Q44" s="2065">
        <f t="shared" si="11"/>
        <v>111</v>
      </c>
      <c r="R44" s="1681" t="s">
        <v>25</v>
      </c>
      <c r="S44" s="1682">
        <f t="shared" si="12"/>
        <v>100</v>
      </c>
      <c r="T44" s="1681" t="s">
        <v>25</v>
      </c>
      <c r="U44" s="1682">
        <f t="shared" si="13"/>
        <v>100</v>
      </c>
      <c r="V44" s="1681" t="s">
        <v>25</v>
      </c>
      <c r="W44" s="1682">
        <f t="shared" si="14"/>
        <v>100</v>
      </c>
      <c r="X44" s="1683"/>
      <c r="Y44" s="3461"/>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59"/>
      <c r="Q45" s="2071">
        <f t="shared" si="11"/>
        <v>111</v>
      </c>
      <c r="R45" s="1725" t="s">
        <v>25</v>
      </c>
      <c r="S45" s="1726">
        <f t="shared" si="12"/>
        <v>100</v>
      </c>
      <c r="T45" s="1725" t="s">
        <v>25</v>
      </c>
      <c r="U45" s="1726">
        <f t="shared" si="13"/>
        <v>100</v>
      </c>
      <c r="V45" s="1725" t="s">
        <v>25</v>
      </c>
      <c r="W45" s="1726">
        <f t="shared" si="14"/>
        <v>100</v>
      </c>
      <c r="X45" s="2074"/>
      <c r="Y45" s="3461"/>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60"/>
      <c r="Q46" s="2071">
        <f t="shared" si="11"/>
        <v>111</v>
      </c>
      <c r="R46" s="1725" t="s">
        <v>25</v>
      </c>
      <c r="S46" s="1726">
        <f t="shared" si="12"/>
        <v>100</v>
      </c>
      <c r="T46" s="1725" t="s">
        <v>25</v>
      </c>
      <c r="U46" s="1726">
        <f t="shared" si="13"/>
        <v>100</v>
      </c>
      <c r="V46" s="1725" t="s">
        <v>25</v>
      </c>
      <c r="W46" s="1726">
        <f t="shared" si="14"/>
        <v>100</v>
      </c>
      <c r="X46" s="2074"/>
      <c r="Y46" s="3462"/>
      <c r="Z46" s="2078">
        <f t="shared" si="15"/>
        <v>111</v>
      </c>
      <c r="AA46" s="2069">
        <f t="shared" si="3"/>
        <v>1</v>
      </c>
      <c r="AB46" s="2069">
        <f t="shared" si="4"/>
        <v>1</v>
      </c>
      <c r="AC46" s="2069">
        <f t="shared" si="5"/>
        <v>1</v>
      </c>
    </row>
    <row r="47" spans="1:29" ht="14.4">
      <c r="A47" s="1781" t="s">
        <v>2296</v>
      </c>
      <c r="B47" s="1782"/>
      <c r="C47" s="1783" t="s">
        <v>1</v>
      </c>
      <c r="D47" s="1784"/>
      <c r="E47" s="1785">
        <v>6.5</v>
      </c>
      <c r="F47" s="1786"/>
      <c r="G47" s="1787">
        <v>6.5</v>
      </c>
      <c r="H47" s="1788"/>
      <c r="I47" s="1785">
        <v>6.5</v>
      </c>
      <c r="J47" s="1788"/>
      <c r="K47" s="2013"/>
      <c r="L47" s="3005"/>
      <c r="N47" s="3000"/>
      <c r="P47" s="3468" t="str">
        <f>A47</f>
        <v>成交单价（元/平方米）</v>
      </c>
      <c r="Q47" s="3468"/>
      <c r="R47" s="3469">
        <f>E47</f>
        <v>6.5</v>
      </c>
      <c r="S47" s="3469"/>
      <c r="T47" s="3469">
        <f>G47</f>
        <v>6.5</v>
      </c>
      <c r="U47" s="3469"/>
      <c r="V47" s="3469">
        <f>I47</f>
        <v>6.5</v>
      </c>
      <c r="W47" s="3469"/>
      <c r="X47" s="1791"/>
      <c r="Y47" s="2073"/>
      <c r="Z47" s="1791"/>
      <c r="AA47" s="1791"/>
      <c r="AB47" s="1791"/>
      <c r="AC47" s="1791"/>
    </row>
    <row r="48" spans="1:29" ht="15" thickBot="1">
      <c r="A48" s="1793" t="s">
        <v>2378</v>
      </c>
      <c r="B48" s="1794"/>
      <c r="C48" s="1795">
        <f>R49</f>
        <v>5.6</v>
      </c>
      <c r="D48" s="1796" t="s">
        <v>2753</v>
      </c>
      <c r="E48" s="1797">
        <f>R48</f>
        <v>5.6</v>
      </c>
      <c r="F48" s="1798"/>
      <c r="G48" s="1795">
        <f>T48</f>
        <v>5.7</v>
      </c>
      <c r="H48" s="1798"/>
      <c r="I48" s="1797">
        <f>V48</f>
        <v>5.6</v>
      </c>
      <c r="J48" s="1798"/>
      <c r="K48" s="2513">
        <f>F48+H48+J48</f>
        <v>0</v>
      </c>
      <c r="L48" s="3005"/>
      <c r="N48" s="3000"/>
      <c r="P48" s="3468" t="str">
        <f>A48</f>
        <v>比较价值（元/平方米）</v>
      </c>
      <c r="Q48" s="3468"/>
      <c r="R48" s="3469">
        <f>IF(E1="售价",ROUND(PRODUCT(R47,AA7:AA46),0),ROUND(PRODUCT(R47,AA7:AA46),1))</f>
        <v>5.6</v>
      </c>
      <c r="S48" s="3469"/>
      <c r="T48" s="3469">
        <f>IF(E1="售价",ROUND(PRODUCT(T47,AB7:AB46),0),ROUND(PRODUCT(T47,AB7:AB46),1))</f>
        <v>5.7</v>
      </c>
      <c r="U48" s="3469"/>
      <c r="V48" s="3469">
        <f>IF(E1="售价",ROUND(PRODUCT(V47,AC7:AC46),0),ROUND(PRODUCT(V47,AC7:AC46),1))</f>
        <v>5.6</v>
      </c>
      <c r="W48" s="3469"/>
      <c r="X48" s="1791"/>
      <c r="Y48" s="1791"/>
      <c r="Z48" s="1791"/>
      <c r="AA48" s="1791"/>
      <c r="AB48" s="1791"/>
      <c r="AC48" s="1791"/>
    </row>
    <row r="49" spans="1:29" ht="15" thickBot="1">
      <c r="A49" s="1799" t="s">
        <v>2379</v>
      </c>
      <c r="B49" s="1800"/>
      <c r="C49" s="1802">
        <f>R49</f>
        <v>5.6</v>
      </c>
      <c r="D49" s="1802"/>
      <c r="E49" s="1802"/>
      <c r="F49" s="1802"/>
      <c r="G49" s="1802"/>
      <c r="H49" s="1802"/>
      <c r="I49" s="1802"/>
      <c r="J49" s="1802"/>
      <c r="K49" s="2018"/>
      <c r="L49" s="3005"/>
      <c r="N49" s="3000"/>
      <c r="P49" s="3474" t="str">
        <f>A49</f>
        <v>估价对象XX用房的比较价值（楼面单价，元/平方米）</v>
      </c>
      <c r="Q49" s="3475"/>
      <c r="R49" s="3476">
        <f>IF(E1="售价",ROUND(IF(D48="简单平均",AVERAGE(R48:V48),R48*F48+T48*H48+V48*J48),0),ROUND(IF(D48="简单平均",AVERAGE(R48:V48),R48*F48+T48*H48+V48*J48),1))</f>
        <v>5.6</v>
      </c>
      <c r="S49" s="3476"/>
      <c r="T49" s="3476"/>
      <c r="U49" s="3476"/>
      <c r="V49" s="3476"/>
      <c r="W49" s="3476"/>
      <c r="X49" s="1791"/>
      <c r="Y49" s="1791"/>
      <c r="Z49" s="1791"/>
      <c r="AA49" s="1791"/>
      <c r="AB49" s="1791"/>
      <c r="AC49" s="1791"/>
    </row>
    <row r="50" spans="1:29">
      <c r="C50" s="1667">
        <f>C49*0.9</f>
        <v>5.04</v>
      </c>
      <c r="D50" s="1667">
        <f>C49*1.1</f>
        <v>6.16</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0.16071428571428581</v>
      </c>
      <c r="F52" s="1809" t="str">
        <f>IF(OR(E52&gt;=0.3,E52&lt;=-0.3),"超过30%","")</f>
        <v/>
      </c>
      <c r="G52" s="1808">
        <f>IF(G47&lt;G48,G48/G47-1,G47/G48-1)</f>
        <v>0.14035087719298245</v>
      </c>
      <c r="H52" s="1809" t="str">
        <f>IF(OR(G52&gt;=0.3,G52&lt;=-0.3),"超过30%","")</f>
        <v/>
      </c>
      <c r="I52" s="1808">
        <f>IF(I47&lt;I48,I48/I47-1,I47/I48-1)</f>
        <v>0.16071428571428581</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1.7857142857143016E-2</v>
      </c>
      <c r="F53" s="1809" t="str">
        <f>IF(OR(E53&gt;=0.2,E53&lt;=-0.2),"超过20%","")</f>
        <v/>
      </c>
      <c r="G53" s="1808">
        <f>IF(G48&lt;I48,I48/G48-1,G48/I48-1)</f>
        <v>1.7857142857143016E-2</v>
      </c>
      <c r="H53" s="1809" t="str">
        <f>IF(OR(G53&gt;=0.2,G53&lt;=-0.2),"超过20%","")</f>
        <v/>
      </c>
      <c r="I53" s="1808">
        <f>IF(I48&lt;E48,E48/I48-1,I48/E48-1)</f>
        <v>0</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0</v>
      </c>
      <c r="F54" s="1809" t="str">
        <f>IF(OR(E54&gt;=0.3,E54&lt;=-0.3),"超过30%","")</f>
        <v/>
      </c>
      <c r="G54" s="1808">
        <f>IF(G47&lt;I47,I47/G47-1,G47/I47-1)</f>
        <v>0</v>
      </c>
      <c r="H54" s="1809" t="str">
        <f>IF(OR(G54&gt;=0.3,G54&lt;=-0.3),"超过30%","")</f>
        <v/>
      </c>
      <c r="I54" s="1808">
        <f>IF(I47&lt;E47,E47/I47-1,I47/E47-1)</f>
        <v>0</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2024-8</v>
      </c>
      <c r="D58" s="1825">
        <f>EDATE(C58,-1)</f>
        <v>45474</v>
      </c>
      <c r="E58" s="1825">
        <f t="shared" ref="E58:O58" si="16">EDATE(D58,-1)</f>
        <v>45444</v>
      </c>
      <c r="F58" s="1825">
        <f t="shared" si="16"/>
        <v>45413</v>
      </c>
      <c r="G58" s="1825">
        <f t="shared" si="16"/>
        <v>45383</v>
      </c>
      <c r="H58" s="1825">
        <f t="shared" si="16"/>
        <v>45352</v>
      </c>
      <c r="I58" s="1825">
        <f t="shared" si="16"/>
        <v>45323</v>
      </c>
      <c r="J58" s="1825">
        <f t="shared" si="16"/>
        <v>45292</v>
      </c>
      <c r="K58" s="1825">
        <f t="shared" si="16"/>
        <v>45261</v>
      </c>
      <c r="L58" s="1825">
        <f t="shared" si="16"/>
        <v>45231</v>
      </c>
      <c r="M58" s="1825">
        <f t="shared" si="16"/>
        <v>45200</v>
      </c>
      <c r="N58" s="1825">
        <f t="shared" si="16"/>
        <v>45170</v>
      </c>
      <c r="O58" s="1825">
        <f t="shared" si="16"/>
        <v>45139</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97</v>
      </c>
      <c r="E77" s="1862">
        <f>D77-$K15</f>
        <v>94</v>
      </c>
      <c r="F77" s="1862">
        <f>E77-$K15</f>
        <v>91</v>
      </c>
      <c r="G77" s="1862">
        <f>F77-$K15</f>
        <v>88</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98</v>
      </c>
      <c r="E79" s="1862">
        <f>D79-$K17</f>
        <v>96</v>
      </c>
      <c r="F79" s="1862">
        <f>E79-$K17</f>
        <v>94</v>
      </c>
      <c r="G79" s="1862">
        <f>F79-$K17</f>
        <v>92</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3" t="s">
        <v>2908</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53" t="s">
        <v>2909</v>
      </c>
      <c r="D90" s="468"/>
      <c r="E90" s="468"/>
      <c r="F90" s="468"/>
      <c r="G90" s="468"/>
      <c r="H90" s="443"/>
      <c r="I90" s="443"/>
      <c r="J90" s="443"/>
      <c r="K90" s="443"/>
      <c r="L90" s="443"/>
      <c r="M90" s="1870"/>
      <c r="N90" s="3020"/>
      <c r="O90" s="3020"/>
      <c r="P90" s="1872"/>
      <c r="Q90" s="1873"/>
    </row>
    <row r="91" spans="1:17" s="1771" customFormat="1" ht="14.4" thickBot="1">
      <c r="A91" s="1869"/>
      <c r="B91" s="1861"/>
      <c r="C91" s="1891">
        <v>100</v>
      </c>
      <c r="D91" s="1862">
        <f>C91-$K27</f>
        <v>97</v>
      </c>
      <c r="E91" s="1862">
        <f t="shared" ref="E91:M91" si="20">D91-$K27</f>
        <v>94</v>
      </c>
      <c r="F91" s="1862">
        <f t="shared" si="20"/>
        <v>91</v>
      </c>
      <c r="G91" s="1862">
        <f t="shared" si="20"/>
        <v>88</v>
      </c>
      <c r="H91" s="1862">
        <f t="shared" si="20"/>
        <v>85</v>
      </c>
      <c r="I91" s="1862">
        <f t="shared" si="20"/>
        <v>82</v>
      </c>
      <c r="J91" s="1862">
        <f t="shared" si="20"/>
        <v>79</v>
      </c>
      <c r="K91" s="1862">
        <f t="shared" si="20"/>
        <v>76</v>
      </c>
      <c r="L91" s="1862">
        <f t="shared" si="20"/>
        <v>73</v>
      </c>
      <c r="M91" s="1862">
        <f t="shared" si="20"/>
        <v>70</v>
      </c>
      <c r="N91" s="3020"/>
      <c r="O91" s="3020"/>
      <c r="P91" s="1872"/>
      <c r="Q91" s="1873"/>
    </row>
    <row r="92" spans="1:17" ht="15" thickTop="1">
      <c r="A92" s="1853"/>
      <c r="B92" s="1858" t="str">
        <f>B28</f>
        <v>楼层</v>
      </c>
      <c r="C92" s="3153" t="s">
        <v>2911</v>
      </c>
      <c r="D92" s="3153" t="s">
        <v>2913</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3" t="s">
        <v>2935</v>
      </c>
      <c r="D94" s="3153" t="s">
        <v>2921</v>
      </c>
      <c r="E94" s="3153" t="s">
        <v>2924</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54" t="s">
        <v>2926</v>
      </c>
      <c r="D100" s="3154" t="s">
        <v>2928</v>
      </c>
      <c r="E100" s="1849"/>
      <c r="F100" s="1849"/>
      <c r="G100" s="1849"/>
      <c r="H100" s="1849"/>
      <c r="I100" s="1849"/>
      <c r="J100" s="1849"/>
      <c r="K100" s="417"/>
      <c r="L100" s="417"/>
      <c r="M100" s="1850"/>
      <c r="N100" s="3018"/>
      <c r="O100" s="3018"/>
      <c r="P100" s="1852"/>
      <c r="Q100" s="1821"/>
    </row>
    <row r="101" spans="1:17" ht="14.4" thickBot="1">
      <c r="A101" s="1853"/>
      <c r="B101" s="1861"/>
      <c r="C101" s="1862">
        <v>100</v>
      </c>
      <c r="D101" s="1862">
        <f t="shared" ref="D101:M101" si="21">C101-$K32</f>
        <v>98</v>
      </c>
      <c r="E101" s="1862">
        <f t="shared" si="21"/>
        <v>96</v>
      </c>
      <c r="F101" s="1862">
        <f t="shared" si="21"/>
        <v>94</v>
      </c>
      <c r="G101" s="1862">
        <f t="shared" si="21"/>
        <v>92</v>
      </c>
      <c r="H101" s="1862">
        <f t="shared" si="21"/>
        <v>90</v>
      </c>
      <c r="I101" s="1862">
        <f t="shared" si="21"/>
        <v>88</v>
      </c>
      <c r="J101" s="1862">
        <f t="shared" si="21"/>
        <v>86</v>
      </c>
      <c r="K101" s="1862">
        <f t="shared" si="21"/>
        <v>84</v>
      </c>
      <c r="L101" s="1862">
        <f t="shared" si="21"/>
        <v>82</v>
      </c>
      <c r="M101" s="1863">
        <f t="shared" si="21"/>
        <v>80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3" t="s">
        <v>2915</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3" t="s">
        <v>2916</v>
      </c>
      <c r="D112" s="468"/>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3" t="s">
        <v>2918</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3020"/>
      <c r="O126" s="3020"/>
      <c r="P126" s="1872"/>
      <c r="Q126" s="1873"/>
    </row>
    <row r="127" spans="1:17" s="1771" customFormat="1" ht="14.4" thickBot="1">
      <c r="A127" s="1869"/>
      <c r="B127" s="1861"/>
      <c r="C127" s="1874"/>
      <c r="D127" s="1855"/>
      <c r="E127" s="1855"/>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A33"/>
  <sheetViews>
    <sheetView workbookViewId="0">
      <selection activeCell="G42" sqref="G42"/>
    </sheetView>
  </sheetViews>
  <sheetFormatPr defaultColWidth="8.88671875" defaultRowHeight="14.4"/>
  <sheetData>
    <row r="31" spans="1:1">
      <c r="A31" s="3151" t="s">
        <v>2897</v>
      </c>
    </row>
    <row r="32" spans="1:1">
      <c r="A32" s="3151" t="s">
        <v>2898</v>
      </c>
    </row>
    <row r="33" spans="1:1">
      <c r="A33" s="3151"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431" t="s">
        <v>2254</v>
      </c>
      <c r="D4" s="3432"/>
      <c r="E4" s="3433" t="s">
        <v>2255</v>
      </c>
      <c r="F4" s="3434"/>
      <c r="G4" s="3431" t="s">
        <v>2256</v>
      </c>
      <c r="H4" s="3432"/>
      <c r="I4" s="3431" t="s">
        <v>2257</v>
      </c>
      <c r="J4" s="3432"/>
      <c r="K4" s="1965" t="s">
        <v>2258</v>
      </c>
      <c r="L4" s="2999"/>
      <c r="M4" s="3000"/>
      <c r="N4" s="3000"/>
      <c r="O4" s="3000"/>
      <c r="P4" s="3435" t="s">
        <v>2259</v>
      </c>
      <c r="Q4" s="3436"/>
      <c r="R4" s="3441" t="s">
        <v>2255</v>
      </c>
      <c r="S4" s="3442"/>
      <c r="T4" s="3441" t="s">
        <v>2256</v>
      </c>
      <c r="U4" s="3442"/>
      <c r="V4" s="3447" t="s">
        <v>2257</v>
      </c>
      <c r="W4" s="3447"/>
      <c r="X4" s="2074"/>
      <c r="Y4" s="3441" t="s">
        <v>2259</v>
      </c>
      <c r="Z4" s="3442"/>
      <c r="AA4" s="3428" t="s">
        <v>2255</v>
      </c>
      <c r="AB4" s="3428" t="s">
        <v>2256</v>
      </c>
      <c r="AC4" s="3428" t="s">
        <v>2257</v>
      </c>
    </row>
    <row r="5" spans="1:29">
      <c r="A5" s="1668"/>
      <c r="B5" s="1669"/>
      <c r="C5" s="3478" t="s">
        <v>2260</v>
      </c>
      <c r="D5" s="3451"/>
      <c r="E5" s="3479" t="s">
        <v>2261</v>
      </c>
      <c r="F5" s="3449"/>
      <c r="G5" s="3478" t="s">
        <v>2262</v>
      </c>
      <c r="H5" s="3451"/>
      <c r="I5" s="3478" t="s">
        <v>2263</v>
      </c>
      <c r="J5" s="3451"/>
      <c r="K5" s="1965"/>
      <c r="L5" s="2999"/>
      <c r="M5" s="3000"/>
      <c r="N5" s="3000"/>
      <c r="O5" s="3000"/>
      <c r="P5" s="3437"/>
      <c r="Q5" s="3438"/>
      <c r="R5" s="3443"/>
      <c r="S5" s="3444"/>
      <c r="T5" s="3443"/>
      <c r="U5" s="3444"/>
      <c r="V5" s="3447"/>
      <c r="W5" s="3447"/>
      <c r="X5" s="2074"/>
      <c r="Y5" s="3443"/>
      <c r="Z5" s="3444"/>
      <c r="AA5" s="3429"/>
      <c r="AB5" s="3429"/>
      <c r="AC5" s="3429"/>
    </row>
    <row r="6" spans="1:29" ht="15" thickBot="1">
      <c r="A6" s="1671"/>
      <c r="B6" s="1672"/>
      <c r="C6" s="3463" t="s">
        <v>2264</v>
      </c>
      <c r="D6" s="3453"/>
      <c r="E6" s="3477" t="s">
        <v>2900</v>
      </c>
      <c r="F6" s="3455"/>
      <c r="G6" s="3452" t="s">
        <v>2929</v>
      </c>
      <c r="H6" s="3453"/>
      <c r="I6" s="3452" t="s">
        <v>2930</v>
      </c>
      <c r="J6" s="3453"/>
      <c r="K6" s="1965" t="s">
        <v>2265</v>
      </c>
      <c r="L6" s="2999"/>
      <c r="M6" s="3000"/>
      <c r="N6" s="3000"/>
      <c r="O6" s="3000"/>
      <c r="P6" s="3439"/>
      <c r="Q6" s="3440"/>
      <c r="R6" s="3443"/>
      <c r="S6" s="3444"/>
      <c r="T6" s="3445"/>
      <c r="U6" s="3446"/>
      <c r="V6" s="3447"/>
      <c r="W6" s="3447"/>
      <c r="X6" s="2074"/>
      <c r="Y6" s="3445"/>
      <c r="Z6" s="3446"/>
      <c r="AA6" s="3430"/>
      <c r="AB6" s="3430"/>
      <c r="AC6" s="3430"/>
    </row>
    <row r="7" spans="1:29" s="1685" customFormat="1" ht="15" thickBot="1">
      <c r="A7" s="1673" t="s">
        <v>2266</v>
      </c>
      <c r="B7" s="1674"/>
      <c r="C7" s="1675">
        <f>'数据-取费表'!B2</f>
        <v>45513</v>
      </c>
      <c r="D7" s="1676">
        <v>100</v>
      </c>
      <c r="E7" s="1677">
        <f>C7</f>
        <v>45513</v>
      </c>
      <c r="F7" s="1678">
        <f>SUMIF(59:59,YEAR(E7)&amp;"-"&amp;MONTH(E7),60:60)</f>
        <v>100</v>
      </c>
      <c r="G7" s="1966">
        <f>C7</f>
        <v>45513</v>
      </c>
      <c r="H7" s="1676">
        <f>SUMIF(59:59,YEAR(G7)&amp;"-"&amp;MONTH(G7),60:60)</f>
        <v>100</v>
      </c>
      <c r="I7" s="1966">
        <f>C7</f>
        <v>45513</v>
      </c>
      <c r="J7" s="1676">
        <f>SUMIF(59:59,YEAR(I7)&amp;"-"&amp;MONTH(I7),60:60)</f>
        <v>100</v>
      </c>
      <c r="K7" s="1967"/>
      <c r="L7" s="2999"/>
      <c r="M7" s="2972"/>
      <c r="N7" s="2972"/>
      <c r="O7" s="2972"/>
      <c r="P7" s="3464" t="s">
        <v>2267</v>
      </c>
      <c r="Q7" s="3466"/>
      <c r="R7" s="1681" t="s">
        <v>25</v>
      </c>
      <c r="S7" s="1682">
        <f t="shared" ref="S7:S15" si="0">F7</f>
        <v>100</v>
      </c>
      <c r="T7" s="1681" t="s">
        <v>25</v>
      </c>
      <c r="U7" s="1682">
        <f t="shared" ref="U7:U15" si="1">H7</f>
        <v>100</v>
      </c>
      <c r="V7" s="1681" t="s">
        <v>25</v>
      </c>
      <c r="W7" s="1682">
        <f t="shared" ref="W7:W15" si="2">J7</f>
        <v>100</v>
      </c>
      <c r="X7" s="1683"/>
      <c r="Y7" s="3464" t="s">
        <v>2267</v>
      </c>
      <c r="Z7" s="3465"/>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64" t="s">
        <v>2270</v>
      </c>
      <c r="Q8" s="3465"/>
      <c r="R8" s="1681" t="s">
        <v>25</v>
      </c>
      <c r="S8" s="1682">
        <f t="shared" si="0"/>
        <v>100</v>
      </c>
      <c r="T8" s="1681" t="s">
        <v>25</v>
      </c>
      <c r="U8" s="1682">
        <f t="shared" si="1"/>
        <v>100</v>
      </c>
      <c r="V8" s="1681" t="s">
        <v>25</v>
      </c>
      <c r="W8" s="1682">
        <f t="shared" si="2"/>
        <v>100</v>
      </c>
      <c r="X8" s="1683"/>
      <c r="Y8" s="3464" t="s">
        <v>2270</v>
      </c>
      <c r="Z8" s="3465"/>
      <c r="AA8" s="1684">
        <f t="shared" ref="AA8:AA47" si="3">D8/F8</f>
        <v>1</v>
      </c>
      <c r="AB8" s="1684">
        <f t="shared" ref="AB8:AB47" si="4">D8/H8</f>
        <v>1</v>
      </c>
      <c r="AC8" s="1684">
        <f t="shared" ref="AC8:AC47" si="5">D8/J8</f>
        <v>1</v>
      </c>
    </row>
    <row r="9" spans="1:29" s="1685" customFormat="1" ht="14.4">
      <c r="A9" s="2066" t="s">
        <v>2271</v>
      </c>
      <c r="B9" s="1688" t="s">
        <v>2272</v>
      </c>
      <c r="C9" s="3152" t="s">
        <v>2932</v>
      </c>
      <c r="D9" s="1689">
        <v>100</v>
      </c>
      <c r="E9" s="1692" t="s">
        <v>2931</v>
      </c>
      <c r="F9" s="1689">
        <f>SUMIF(64:64,E9,65:65)-SUMIF(64:64,C9,65:65)+100</f>
        <v>100</v>
      </c>
      <c r="G9" s="1692" t="s">
        <v>2931</v>
      </c>
      <c r="H9" s="1689">
        <f>SUMIF(64:64,G9,65:65)-SUMIF(64:64,C9,65:65)+100</f>
        <v>100</v>
      </c>
      <c r="I9" s="1692" t="s">
        <v>2931</v>
      </c>
      <c r="J9" s="1689">
        <f>SUMIF(64:64,I9,65:65)-SUMIF(64:64,C9,65:65)+100</f>
        <v>100</v>
      </c>
      <c r="K9" s="1967"/>
      <c r="L9" s="2999"/>
      <c r="M9" s="2972"/>
      <c r="N9" s="2972"/>
      <c r="O9" s="2972"/>
      <c r="P9" s="3468" t="s">
        <v>2273</v>
      </c>
      <c r="Q9" s="2917" t="str">
        <f t="shared" ref="Q9:Q15" si="6">B9</f>
        <v>用途</v>
      </c>
      <c r="R9" s="1681" t="s">
        <v>25</v>
      </c>
      <c r="S9" s="1682">
        <f t="shared" si="0"/>
        <v>100</v>
      </c>
      <c r="T9" s="1681" t="s">
        <v>25</v>
      </c>
      <c r="U9" s="1682">
        <f t="shared" si="1"/>
        <v>100</v>
      </c>
      <c r="V9" s="1681" t="s">
        <v>25</v>
      </c>
      <c r="W9" s="1682">
        <f t="shared" si="2"/>
        <v>100</v>
      </c>
      <c r="X9" s="1683"/>
      <c r="Y9" s="3329" t="s">
        <v>2274</v>
      </c>
      <c r="Z9" s="1693" t="str">
        <f t="shared" ref="Z9:Z15" si="7">Q9</f>
        <v>用途</v>
      </c>
      <c r="AA9" s="1684">
        <f t="shared" si="3"/>
        <v>1</v>
      </c>
      <c r="AB9" s="1684">
        <f t="shared" si="4"/>
        <v>1</v>
      </c>
      <c r="AC9" s="1684">
        <f t="shared" si="5"/>
        <v>1</v>
      </c>
    </row>
    <row r="10" spans="1:29" s="1701" customFormat="1" ht="28.8">
      <c r="A10" s="1694"/>
      <c r="B10" s="1695" t="s">
        <v>2275</v>
      </c>
      <c r="C10" s="1696" t="s">
        <v>2933</v>
      </c>
      <c r="D10" s="1697">
        <v>100</v>
      </c>
      <c r="E10" s="1696" t="s">
        <v>2933</v>
      </c>
      <c r="F10" s="1697">
        <f>SUMIF(66:66,E10,67:67)-SUMIF(66:66,C10,67:67)+100</f>
        <v>100</v>
      </c>
      <c r="G10" s="1696" t="s">
        <v>2933</v>
      </c>
      <c r="H10" s="1697">
        <f>SUMIF(66:66,G10,67:67)-SUMIF(66:66,C10,67:67)+100</f>
        <v>100</v>
      </c>
      <c r="I10" s="1696" t="s">
        <v>2933</v>
      </c>
      <c r="J10" s="1697">
        <f>SUMIF(66:66,I10,67:67)-SUMIF(66:66,C10,67:67)+100</f>
        <v>100</v>
      </c>
      <c r="K10" s="1992">
        <v>2</v>
      </c>
      <c r="L10" s="3001"/>
      <c r="M10" s="3002"/>
      <c r="N10" s="3002"/>
      <c r="O10" s="3002"/>
      <c r="P10" s="3468"/>
      <c r="Q10" s="2917" t="str">
        <f t="shared" si="6"/>
        <v>土地使用年限（年）</v>
      </c>
      <c r="R10" s="1681" t="s">
        <v>25</v>
      </c>
      <c r="S10" s="1682">
        <f t="shared" si="0"/>
        <v>100</v>
      </c>
      <c r="T10" s="1681" t="s">
        <v>25</v>
      </c>
      <c r="U10" s="1682">
        <f t="shared" si="1"/>
        <v>100</v>
      </c>
      <c r="V10" s="1681" t="s">
        <v>25</v>
      </c>
      <c r="W10" s="1682">
        <f t="shared" si="2"/>
        <v>100</v>
      </c>
      <c r="X10" s="1683"/>
      <c r="Y10" s="3329"/>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68"/>
      <c r="Q11" s="2917" t="str">
        <f t="shared" si="6"/>
        <v>容积率</v>
      </c>
      <c r="R11" s="1681" t="s">
        <v>25</v>
      </c>
      <c r="S11" s="1682">
        <f t="shared" si="0"/>
        <v>100</v>
      </c>
      <c r="T11" s="1681" t="s">
        <v>25</v>
      </c>
      <c r="U11" s="1682">
        <f t="shared" si="1"/>
        <v>100</v>
      </c>
      <c r="V11" s="1681" t="s">
        <v>25</v>
      </c>
      <c r="W11" s="1682">
        <f t="shared" si="2"/>
        <v>100</v>
      </c>
      <c r="X11" s="1683"/>
      <c r="Y11" s="3329"/>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68"/>
      <c r="Q12" s="2917">
        <f t="shared" si="6"/>
        <v>111</v>
      </c>
      <c r="R12" s="1681" t="s">
        <v>25</v>
      </c>
      <c r="S12" s="1682">
        <f t="shared" si="0"/>
        <v>100</v>
      </c>
      <c r="T12" s="1681" t="s">
        <v>25</v>
      </c>
      <c r="U12" s="1682">
        <f t="shared" si="1"/>
        <v>100</v>
      </c>
      <c r="V12" s="1681" t="s">
        <v>25</v>
      </c>
      <c r="W12" s="1682">
        <f t="shared" si="2"/>
        <v>100</v>
      </c>
      <c r="X12" s="1683"/>
      <c r="Y12" s="3329"/>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68"/>
      <c r="Q13" s="2917">
        <f t="shared" si="6"/>
        <v>111</v>
      </c>
      <c r="R13" s="1681" t="s">
        <v>25</v>
      </c>
      <c r="S13" s="1682">
        <f t="shared" si="0"/>
        <v>100</v>
      </c>
      <c r="T13" s="1681" t="s">
        <v>25</v>
      </c>
      <c r="U13" s="1682">
        <f t="shared" si="1"/>
        <v>100</v>
      </c>
      <c r="V13" s="1681" t="s">
        <v>25</v>
      </c>
      <c r="W13" s="1682">
        <f t="shared" si="2"/>
        <v>100</v>
      </c>
      <c r="X13" s="1683"/>
      <c r="Y13" s="3329"/>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68"/>
      <c r="Q14" s="2917">
        <f t="shared" si="6"/>
        <v>111</v>
      </c>
      <c r="R14" s="1681" t="s">
        <v>25</v>
      </c>
      <c r="S14" s="1682">
        <f t="shared" si="0"/>
        <v>100</v>
      </c>
      <c r="T14" s="1681" t="s">
        <v>25</v>
      </c>
      <c r="U14" s="1682">
        <f t="shared" si="1"/>
        <v>100</v>
      </c>
      <c r="V14" s="1681" t="s">
        <v>25</v>
      </c>
      <c r="W14" s="1682">
        <f t="shared" si="2"/>
        <v>100</v>
      </c>
      <c r="X14" s="1683"/>
      <c r="Y14" s="3329"/>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56" t="s">
        <v>2278</v>
      </c>
      <c r="Q15" s="2918" t="str">
        <f t="shared" si="6"/>
        <v>办公集聚程度</v>
      </c>
      <c r="R15" s="1725" t="s">
        <v>25</v>
      </c>
      <c r="S15" s="1726">
        <f t="shared" si="0"/>
        <v>102</v>
      </c>
      <c r="T15" s="1725" t="s">
        <v>25</v>
      </c>
      <c r="U15" s="1726">
        <f t="shared" si="1"/>
        <v>102</v>
      </c>
      <c r="V15" s="1725" t="s">
        <v>25</v>
      </c>
      <c r="W15" s="1726">
        <f t="shared" si="2"/>
        <v>102</v>
      </c>
      <c r="X15" s="2074"/>
      <c r="Y15" s="3456"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57"/>
      <c r="Q16" s="2918"/>
      <c r="R16" s="1725"/>
      <c r="S16" s="1726"/>
      <c r="T16" s="1725"/>
      <c r="U16" s="1726"/>
      <c r="V16" s="1725"/>
      <c r="W16" s="1726"/>
      <c r="X16" s="2074"/>
      <c r="Y16" s="3457"/>
      <c r="Z16" s="2078"/>
      <c r="AA16" s="2069">
        <v>1</v>
      </c>
      <c r="AB16" s="2069">
        <v>1</v>
      </c>
      <c r="AC16" s="2069">
        <v>1</v>
      </c>
    </row>
    <row r="17" spans="1:29" ht="151.80000000000001">
      <c r="A17" s="1702"/>
      <c r="B17" s="2497" t="s">
        <v>1713</v>
      </c>
      <c r="C17" s="1980" t="str">
        <f>估价对象房地状况!C6</f>
        <v>估价对象周边有专98路、33路、快速直达专线83、481路、507路、632路、85路、40路等多条公交线路，距地铁6号线（慈寿寺）约小于1公里，综合评价交通便捷度较好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57"/>
      <c r="Q17" s="2918" t="str">
        <f>B17</f>
        <v>交通便捷度</v>
      </c>
      <c r="R17" s="1725" t="s">
        <v>25</v>
      </c>
      <c r="S17" s="1726">
        <f>F17</f>
        <v>97</v>
      </c>
      <c r="T17" s="1725" t="s">
        <v>25</v>
      </c>
      <c r="U17" s="1726">
        <f>H17</f>
        <v>97</v>
      </c>
      <c r="V17" s="1725" t="s">
        <v>25</v>
      </c>
      <c r="W17" s="1726">
        <f>J17</f>
        <v>97</v>
      </c>
      <c r="X17" s="2074"/>
      <c r="Y17" s="3457"/>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57"/>
      <c r="Q18" s="2918"/>
      <c r="R18" s="1725"/>
      <c r="S18" s="1726"/>
      <c r="T18" s="1725"/>
      <c r="U18" s="1726"/>
      <c r="V18" s="1725"/>
      <c r="W18" s="1726"/>
      <c r="X18" s="2074"/>
      <c r="Y18" s="3457"/>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57"/>
      <c r="Q19" s="2918" t="str">
        <f>B19</f>
        <v>公共配套设施</v>
      </c>
      <c r="R19" s="1725" t="s">
        <v>25</v>
      </c>
      <c r="S19" s="1726">
        <f>F19</f>
        <v>102</v>
      </c>
      <c r="T19" s="1725" t="s">
        <v>25</v>
      </c>
      <c r="U19" s="1726">
        <f>H19</f>
        <v>102</v>
      </c>
      <c r="V19" s="1725" t="s">
        <v>25</v>
      </c>
      <c r="W19" s="1726">
        <f>J19</f>
        <v>102</v>
      </c>
      <c r="X19" s="2074"/>
      <c r="Y19" s="3457"/>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57"/>
      <c r="Q20" s="2918"/>
      <c r="R20" s="1725"/>
      <c r="S20" s="1726"/>
      <c r="T20" s="1725"/>
      <c r="U20" s="1726"/>
      <c r="V20" s="1725"/>
      <c r="W20" s="1726"/>
      <c r="X20" s="2074"/>
      <c r="Y20" s="3457"/>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57"/>
      <c r="Q21" s="2918" t="str">
        <f>B21</f>
        <v>基础设施水平</v>
      </c>
      <c r="R21" s="1725" t="s">
        <v>25</v>
      </c>
      <c r="S21" s="1726">
        <f>F21</f>
        <v>100</v>
      </c>
      <c r="T21" s="1725" t="s">
        <v>25</v>
      </c>
      <c r="U21" s="1726">
        <f>H21</f>
        <v>100</v>
      </c>
      <c r="V21" s="1725" t="s">
        <v>25</v>
      </c>
      <c r="W21" s="1726">
        <f>J21</f>
        <v>100</v>
      </c>
      <c r="X21" s="2074"/>
      <c r="Y21" s="3457"/>
      <c r="Z21" s="2078" t="str">
        <f>Q21</f>
        <v>基础设施水平</v>
      </c>
      <c r="AA21" s="2069">
        <f t="shared" ref="AA21" si="8">D21/F21</f>
        <v>1</v>
      </c>
      <c r="AB21" s="2069">
        <f t="shared" ref="AB21" si="9">D21/H21</f>
        <v>1</v>
      </c>
      <c r="AC21" s="2069">
        <f t="shared" ref="AC21" si="10">D21/J21</f>
        <v>1</v>
      </c>
    </row>
    <row r="22" spans="1:29" ht="15">
      <c r="A22" s="1702"/>
      <c r="B22" s="2499"/>
      <c r="C22" s="1979" t="s">
        <v>2906</v>
      </c>
      <c r="D22" s="1731"/>
      <c r="E22" s="1979" t="s">
        <v>2906</v>
      </c>
      <c r="F22" s="1731"/>
      <c r="G22" s="1979" t="s">
        <v>2906</v>
      </c>
      <c r="H22" s="1731"/>
      <c r="I22" s="1979" t="s">
        <v>2906</v>
      </c>
      <c r="J22" s="1731"/>
      <c r="K22" s="2477"/>
      <c r="L22" s="3004"/>
      <c r="M22" s="3000"/>
      <c r="N22" s="3000"/>
      <c r="O22" s="3000"/>
      <c r="P22" s="3457"/>
      <c r="Q22" s="2918"/>
      <c r="R22" s="1725"/>
      <c r="S22" s="1726"/>
      <c r="T22" s="1725"/>
      <c r="U22" s="1726"/>
      <c r="V22" s="1725"/>
      <c r="W22" s="1726"/>
      <c r="X22" s="2074"/>
      <c r="Y22" s="3457"/>
      <c r="Z22" s="2078"/>
      <c r="AA22" s="2069">
        <v>1</v>
      </c>
      <c r="AB22" s="2069">
        <v>1</v>
      </c>
      <c r="AC22" s="2069">
        <v>1</v>
      </c>
    </row>
    <row r="23" spans="1:29" ht="82.8">
      <c r="A23" s="1702"/>
      <c r="B23" s="2497" t="s">
        <v>2394</v>
      </c>
      <c r="C23" s="1980" t="str">
        <f>估价对象房地状况!C9</f>
        <v>区域自然环境：玲珑公园、京密引水渠；人文环境：宝联体育公园等；综合评价环境状况较好</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57"/>
      <c r="Q23" s="2918" t="str">
        <f>B23</f>
        <v>环境质量</v>
      </c>
      <c r="R23" s="1725" t="s">
        <v>25</v>
      </c>
      <c r="S23" s="1726">
        <f>F23</f>
        <v>100</v>
      </c>
      <c r="T23" s="1725" t="s">
        <v>25</v>
      </c>
      <c r="U23" s="1726">
        <f>H23</f>
        <v>100</v>
      </c>
      <c r="V23" s="1725" t="s">
        <v>25</v>
      </c>
      <c r="W23" s="1726">
        <f>J23</f>
        <v>100</v>
      </c>
      <c r="X23" s="2074"/>
      <c r="Y23" s="3457"/>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57"/>
      <c r="Q24" s="2918"/>
      <c r="R24" s="1725"/>
      <c r="S24" s="1726"/>
      <c r="T24" s="1725"/>
      <c r="U24" s="1726"/>
      <c r="V24" s="1725"/>
      <c r="W24" s="1726"/>
      <c r="X24" s="2074"/>
      <c r="Y24" s="3457"/>
      <c r="Z24" s="2078"/>
      <c r="AA24" s="2069">
        <v>1</v>
      </c>
      <c r="AB24" s="2069">
        <v>1</v>
      </c>
      <c r="AC24" s="2069">
        <v>1</v>
      </c>
    </row>
    <row r="25" spans="1:29" ht="28.8">
      <c r="A25" s="1668"/>
      <c r="B25" s="2497" t="s">
        <v>2395</v>
      </c>
      <c r="C25" s="3157"/>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57"/>
      <c r="Q25" s="2918" t="str">
        <f>B25</f>
        <v>毗邻道路的类型与等级</v>
      </c>
      <c r="R25" s="1725" t="s">
        <v>25</v>
      </c>
      <c r="S25" s="1726">
        <f>F25</f>
        <v>96</v>
      </c>
      <c r="T25" s="1725" t="s">
        <v>25</v>
      </c>
      <c r="U25" s="1726">
        <f>H25</f>
        <v>100</v>
      </c>
      <c r="V25" s="1725" t="s">
        <v>25</v>
      </c>
      <c r="W25" s="1726">
        <f>J25</f>
        <v>98</v>
      </c>
      <c r="X25" s="2074"/>
      <c r="Y25" s="3457"/>
      <c r="Z25" s="2078" t="str">
        <f>Q25</f>
        <v>毗邻道路的类型与等级</v>
      </c>
      <c r="AA25" s="2069">
        <f t="shared" si="3"/>
        <v>1.0416666666666667</v>
      </c>
      <c r="AB25" s="2069">
        <f t="shared" si="4"/>
        <v>1</v>
      </c>
      <c r="AC25" s="2069">
        <f t="shared" si="5"/>
        <v>1.0204081632653061</v>
      </c>
    </row>
    <row r="26" spans="1:29" ht="15">
      <c r="A26" s="1668"/>
      <c r="B26" s="2498"/>
      <c r="C26" s="1983" t="s">
        <v>2934</v>
      </c>
      <c r="D26" s="1711"/>
      <c r="E26" s="1991" t="s">
        <v>2922</v>
      </c>
      <c r="F26" s="1711"/>
      <c r="G26" s="1983" t="s">
        <v>2934</v>
      </c>
      <c r="H26" s="1711"/>
      <c r="I26" s="1991" t="s">
        <v>2920</v>
      </c>
      <c r="J26" s="1711"/>
      <c r="K26" s="2476"/>
      <c r="L26" s="3004"/>
      <c r="M26" s="3000"/>
      <c r="N26" s="3000"/>
      <c r="O26" s="3000"/>
      <c r="P26" s="3457"/>
      <c r="Q26" s="2918"/>
      <c r="R26" s="1725"/>
      <c r="S26" s="1726"/>
      <c r="T26" s="1725"/>
      <c r="U26" s="1726"/>
      <c r="V26" s="1725"/>
      <c r="W26" s="1726"/>
      <c r="X26" s="2074"/>
      <c r="Y26" s="3457"/>
      <c r="Z26" s="2078"/>
      <c r="AA26" s="2069">
        <v>1</v>
      </c>
      <c r="AB26" s="2069">
        <v>1</v>
      </c>
      <c r="AC26" s="2069">
        <v>1</v>
      </c>
    </row>
    <row r="27" spans="1:29" ht="15">
      <c r="A27" s="1702"/>
      <c r="B27" s="2498" t="s">
        <v>2368</v>
      </c>
      <c r="C27" s="1983" t="s">
        <v>2941</v>
      </c>
      <c r="D27" s="1711">
        <v>100</v>
      </c>
      <c r="E27" s="1991" t="s">
        <v>2941</v>
      </c>
      <c r="F27" s="1711">
        <f>SUMIF(89:89,E27,90:90)-SUMIF(89:89,C27,90:90)+100</f>
        <v>100</v>
      </c>
      <c r="G27" s="1983" t="s">
        <v>2939</v>
      </c>
      <c r="H27" s="1711">
        <f>SUMIF(89:89,G27,90:90)-SUMIF(89:89,C27,90:90)+100</f>
        <v>102</v>
      </c>
      <c r="I27" s="1991" t="s">
        <v>2941</v>
      </c>
      <c r="J27" s="1711">
        <f>SUMIF(89:89,I27,90:90)-SUMIF(89:89,C27,90:90)+100</f>
        <v>100</v>
      </c>
      <c r="K27" s="1992">
        <v>2</v>
      </c>
      <c r="L27" s="3004"/>
      <c r="M27" s="3000"/>
      <c r="N27" s="3000"/>
      <c r="O27" s="3000"/>
      <c r="P27" s="3457"/>
      <c r="Q27" s="2918" t="str">
        <f t="shared" ref="Q27:Q47" si="11">B27</f>
        <v>楼层</v>
      </c>
      <c r="R27" s="1725" t="s">
        <v>25</v>
      </c>
      <c r="S27" s="1726">
        <f>F27</f>
        <v>100</v>
      </c>
      <c r="T27" s="1725" t="s">
        <v>25</v>
      </c>
      <c r="U27" s="1726">
        <f>H27</f>
        <v>102</v>
      </c>
      <c r="V27" s="1725" t="s">
        <v>25</v>
      </c>
      <c r="W27" s="1726">
        <f>J27</f>
        <v>100</v>
      </c>
      <c r="X27" s="2074"/>
      <c r="Y27" s="3457"/>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57"/>
      <c r="Q28" s="2917" t="str">
        <f t="shared" si="11"/>
        <v>朝向</v>
      </c>
      <c r="R28" s="1681" t="s">
        <v>25</v>
      </c>
      <c r="S28" s="1682">
        <f>F28</f>
        <v>100</v>
      </c>
      <c r="T28" s="1681" t="s">
        <v>25</v>
      </c>
      <c r="U28" s="1682">
        <f>H28</f>
        <v>100</v>
      </c>
      <c r="V28" s="1681" t="s">
        <v>25</v>
      </c>
      <c r="W28" s="1682">
        <f>J28</f>
        <v>100</v>
      </c>
      <c r="X28" s="1683"/>
      <c r="Y28" s="3457"/>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57"/>
      <c r="Q29" s="2918">
        <f t="shared" si="11"/>
        <v>111</v>
      </c>
      <c r="R29" s="1725" t="s">
        <v>25</v>
      </c>
      <c r="S29" s="1726">
        <f t="shared" ref="S29:S47" si="12">F29</f>
        <v>100</v>
      </c>
      <c r="T29" s="1725" t="s">
        <v>25</v>
      </c>
      <c r="U29" s="1726">
        <f t="shared" ref="U29:U47" si="13">H29</f>
        <v>100</v>
      </c>
      <c r="V29" s="1725" t="s">
        <v>25</v>
      </c>
      <c r="W29" s="1726">
        <f t="shared" ref="W29:W47" si="14">J29</f>
        <v>100</v>
      </c>
      <c r="X29" s="2074"/>
      <c r="Y29" s="3457"/>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57"/>
      <c r="Q30" s="2918">
        <f t="shared" si="11"/>
        <v>111</v>
      </c>
      <c r="R30" s="1725" t="s">
        <v>25</v>
      </c>
      <c r="S30" s="1726">
        <f t="shared" si="12"/>
        <v>100</v>
      </c>
      <c r="T30" s="1725" t="s">
        <v>25</v>
      </c>
      <c r="U30" s="1726">
        <f t="shared" si="13"/>
        <v>100</v>
      </c>
      <c r="V30" s="1725" t="s">
        <v>25</v>
      </c>
      <c r="W30" s="1726">
        <f t="shared" si="14"/>
        <v>100</v>
      </c>
      <c r="X30" s="2074"/>
      <c r="Y30" s="3457"/>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57"/>
      <c r="Q31" s="2918">
        <f t="shared" si="11"/>
        <v>111</v>
      </c>
      <c r="R31" s="1725" t="s">
        <v>25</v>
      </c>
      <c r="S31" s="1726">
        <f t="shared" si="12"/>
        <v>100</v>
      </c>
      <c r="T31" s="1725" t="s">
        <v>25</v>
      </c>
      <c r="U31" s="1726">
        <f t="shared" si="13"/>
        <v>100</v>
      </c>
      <c r="V31" s="1725" t="s">
        <v>25</v>
      </c>
      <c r="W31" s="1726">
        <f t="shared" si="14"/>
        <v>100</v>
      </c>
      <c r="X31" s="2074"/>
      <c r="Y31" s="3457"/>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57"/>
      <c r="Q32" s="2918">
        <f t="shared" si="11"/>
        <v>111</v>
      </c>
      <c r="R32" s="1725" t="s">
        <v>25</v>
      </c>
      <c r="S32" s="1726">
        <f t="shared" si="12"/>
        <v>100</v>
      </c>
      <c r="T32" s="1725" t="s">
        <v>25</v>
      </c>
      <c r="U32" s="1726">
        <f t="shared" si="13"/>
        <v>100</v>
      </c>
      <c r="V32" s="1725" t="s">
        <v>25</v>
      </c>
      <c r="W32" s="1726">
        <f t="shared" si="14"/>
        <v>100</v>
      </c>
      <c r="X32" s="2074"/>
      <c r="Y32" s="3457"/>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480" t="s">
        <v>2284</v>
      </c>
      <c r="Q33" s="2918" t="str">
        <f t="shared" si="11"/>
        <v>建筑类型</v>
      </c>
      <c r="R33" s="1725" t="s">
        <v>25</v>
      </c>
      <c r="S33" s="1726">
        <f t="shared" si="12"/>
        <v>100</v>
      </c>
      <c r="T33" s="1725" t="s">
        <v>25</v>
      </c>
      <c r="U33" s="1726">
        <f t="shared" si="13"/>
        <v>100</v>
      </c>
      <c r="V33" s="1725" t="s">
        <v>25</v>
      </c>
      <c r="W33" s="1726">
        <f t="shared" si="14"/>
        <v>100</v>
      </c>
      <c r="X33" s="2074"/>
      <c r="Y33" s="3461"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61"/>
      <c r="Q34" s="1766" t="str">
        <f t="shared" si="11"/>
        <v>项目建筑规模</v>
      </c>
      <c r="R34" s="1767" t="s">
        <v>25</v>
      </c>
      <c r="S34" s="1768">
        <f t="shared" si="12"/>
        <v>100</v>
      </c>
      <c r="T34" s="1767" t="s">
        <v>25</v>
      </c>
      <c r="U34" s="1768">
        <f t="shared" si="13"/>
        <v>100</v>
      </c>
      <c r="V34" s="1767" t="s">
        <v>25</v>
      </c>
      <c r="W34" s="1768">
        <f t="shared" si="14"/>
        <v>100</v>
      </c>
      <c r="X34" s="1769"/>
      <c r="Y34" s="3461"/>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61"/>
      <c r="Q35" s="2918" t="str">
        <f t="shared" si="11"/>
        <v>建筑结构</v>
      </c>
      <c r="R35" s="1725" t="s">
        <v>25</v>
      </c>
      <c r="S35" s="1726">
        <f t="shared" si="12"/>
        <v>100</v>
      </c>
      <c r="T35" s="1725" t="s">
        <v>25</v>
      </c>
      <c r="U35" s="1726">
        <f t="shared" si="13"/>
        <v>100</v>
      </c>
      <c r="V35" s="1725" t="s">
        <v>25</v>
      </c>
      <c r="W35" s="1726">
        <f t="shared" si="14"/>
        <v>100</v>
      </c>
      <c r="X35" s="2074"/>
      <c r="Y35" s="3461"/>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61"/>
      <c r="Q36" s="2918" t="str">
        <f t="shared" si="11"/>
        <v>公共部分装修</v>
      </c>
      <c r="R36" s="1725" t="s">
        <v>25</v>
      </c>
      <c r="S36" s="1726">
        <f t="shared" si="12"/>
        <v>100</v>
      </c>
      <c r="T36" s="1725" t="s">
        <v>25</v>
      </c>
      <c r="U36" s="1726">
        <f t="shared" si="13"/>
        <v>100</v>
      </c>
      <c r="V36" s="1725" t="s">
        <v>25</v>
      </c>
      <c r="W36" s="1726">
        <f t="shared" si="14"/>
        <v>100</v>
      </c>
      <c r="X36" s="2074"/>
      <c r="Y36" s="3461"/>
      <c r="Z36" s="2078" t="str">
        <f t="shared" si="15"/>
        <v>公共部分装修</v>
      </c>
      <c r="AA36" s="2069">
        <f t="shared" si="3"/>
        <v>1</v>
      </c>
      <c r="AB36" s="2069">
        <f t="shared" si="4"/>
        <v>1</v>
      </c>
      <c r="AC36" s="2069">
        <f t="shared" si="5"/>
        <v>1</v>
      </c>
    </row>
    <row r="37" spans="1:29" ht="15">
      <c r="A37" s="1772"/>
      <c r="B37" s="1695" t="s">
        <v>2371</v>
      </c>
      <c r="C37" s="3160">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61"/>
      <c r="Q37" s="2918" t="str">
        <f t="shared" si="11"/>
        <v>成新度</v>
      </c>
      <c r="R37" s="1725" t="s">
        <v>25</v>
      </c>
      <c r="S37" s="1726">
        <f t="shared" si="12"/>
        <v>100</v>
      </c>
      <c r="T37" s="1725" t="s">
        <v>25</v>
      </c>
      <c r="U37" s="1726">
        <f t="shared" si="13"/>
        <v>100</v>
      </c>
      <c r="V37" s="1725" t="s">
        <v>25</v>
      </c>
      <c r="W37" s="1726">
        <f t="shared" si="14"/>
        <v>100</v>
      </c>
      <c r="X37" s="2074"/>
      <c r="Y37" s="3461"/>
      <c r="Z37" s="2078" t="str">
        <f t="shared" si="15"/>
        <v>成新度</v>
      </c>
      <c r="AA37" s="2069">
        <f t="shared" si="3"/>
        <v>1</v>
      </c>
      <c r="AB37" s="2069">
        <f t="shared" si="4"/>
        <v>1</v>
      </c>
      <c r="AC37" s="2069">
        <f t="shared" si="5"/>
        <v>1</v>
      </c>
    </row>
    <row r="38" spans="1:29" s="1685" customFormat="1" ht="15">
      <c r="A38" s="1775"/>
      <c r="B38" s="1695" t="s">
        <v>2398</v>
      </c>
      <c r="C38" s="3158" t="s">
        <v>2944</v>
      </c>
      <c r="D38" s="1697">
        <v>100</v>
      </c>
      <c r="E38" s="1752" t="s">
        <v>2944</v>
      </c>
      <c r="F38" s="1754">
        <f>SUMIF(113:113,E38,114:114)-SUMIF(113:113,C38,114:114)+100</f>
        <v>100</v>
      </c>
      <c r="G38" s="1752" t="s">
        <v>2946</v>
      </c>
      <c r="H38" s="1711">
        <f>SUMIF(113:113,G38,114:114)-SUMIF(113:113,C38,114:114)+100</f>
        <v>97</v>
      </c>
      <c r="I38" s="1752" t="s">
        <v>2944</v>
      </c>
      <c r="J38" s="1711">
        <f>SUMIF(113:113,I38,114:114)-SUMIF(113:113,C38,114:114)+100</f>
        <v>100</v>
      </c>
      <c r="K38" s="1992">
        <v>3</v>
      </c>
      <c r="L38" s="2999"/>
      <c r="M38" s="2972"/>
      <c r="N38" s="2972"/>
      <c r="O38" s="2972"/>
      <c r="P38" s="3461"/>
      <c r="Q38" s="2917" t="str">
        <f t="shared" si="11"/>
        <v>写字楼等级</v>
      </c>
      <c r="R38" s="1681" t="s">
        <v>25</v>
      </c>
      <c r="S38" s="1682">
        <f t="shared" si="12"/>
        <v>100</v>
      </c>
      <c r="T38" s="1681" t="s">
        <v>25</v>
      </c>
      <c r="U38" s="1682">
        <f t="shared" si="13"/>
        <v>97</v>
      </c>
      <c r="V38" s="1681" t="s">
        <v>25</v>
      </c>
      <c r="W38" s="1682">
        <f t="shared" si="14"/>
        <v>100</v>
      </c>
      <c r="X38" s="1683"/>
      <c r="Y38" s="3461"/>
      <c r="Z38" s="1693" t="str">
        <f t="shared" si="15"/>
        <v>写字楼等级</v>
      </c>
      <c r="AA38" s="1684">
        <f t="shared" si="3"/>
        <v>1</v>
      </c>
      <c r="AB38" s="1684">
        <f t="shared" si="4"/>
        <v>1.0309278350515463</v>
      </c>
      <c r="AC38" s="1684">
        <f t="shared" si="5"/>
        <v>1</v>
      </c>
    </row>
    <row r="39" spans="1:29" ht="15">
      <c r="A39" s="1772"/>
      <c r="B39" s="1695" t="s">
        <v>2399</v>
      </c>
      <c r="C39" s="1752" t="s">
        <v>2950</v>
      </c>
      <c r="D39" s="1711">
        <v>100</v>
      </c>
      <c r="E39" s="1752" t="s">
        <v>2950</v>
      </c>
      <c r="F39" s="1754">
        <f>SUMIF(115:115,E39,116:116)-SUMIF(115:115,C39,116:116)+100</f>
        <v>100</v>
      </c>
      <c r="G39" s="1752" t="s">
        <v>2950</v>
      </c>
      <c r="H39" s="1711">
        <f>SUMIF(115:115,G39,116:116)-SUMIF(115:115,C39,116:116)+100</f>
        <v>100</v>
      </c>
      <c r="I39" s="1752" t="s">
        <v>2950</v>
      </c>
      <c r="J39" s="1711">
        <f>SUMIF(115:115,I39,116:116)-SUMIF(115:115,C39,116:116)+100</f>
        <v>100</v>
      </c>
      <c r="K39" s="1992">
        <v>2</v>
      </c>
      <c r="L39" s="3004"/>
      <c r="M39" s="3000"/>
      <c r="N39" s="3000"/>
      <c r="O39" s="3000"/>
      <c r="P39" s="3461" t="s">
        <v>2284</v>
      </c>
      <c r="Q39" s="2918" t="str">
        <f t="shared" si="11"/>
        <v>物业管理</v>
      </c>
      <c r="R39" s="1725" t="s">
        <v>25</v>
      </c>
      <c r="S39" s="1726">
        <f t="shared" si="12"/>
        <v>100</v>
      </c>
      <c r="T39" s="1725" t="s">
        <v>25</v>
      </c>
      <c r="U39" s="1726">
        <f t="shared" si="13"/>
        <v>100</v>
      </c>
      <c r="V39" s="1725" t="s">
        <v>25</v>
      </c>
      <c r="W39" s="1726">
        <f t="shared" si="14"/>
        <v>100</v>
      </c>
      <c r="X39" s="2074"/>
      <c r="Y39" s="3461" t="s">
        <v>2284</v>
      </c>
      <c r="Z39" s="2078" t="str">
        <f t="shared" si="15"/>
        <v>物业管理</v>
      </c>
      <c r="AA39" s="2069">
        <f t="shared" si="3"/>
        <v>1</v>
      </c>
      <c r="AB39" s="2069">
        <f t="shared" si="4"/>
        <v>1</v>
      </c>
      <c r="AC39" s="2069">
        <f t="shared" si="5"/>
        <v>1</v>
      </c>
    </row>
    <row r="40" spans="1:29" ht="15">
      <c r="A40" s="1772"/>
      <c r="B40" s="1695" t="s">
        <v>2372</v>
      </c>
      <c r="C40" s="1752" t="s">
        <v>2906</v>
      </c>
      <c r="D40" s="1711">
        <v>100</v>
      </c>
      <c r="E40" s="1752" t="s">
        <v>2906</v>
      </c>
      <c r="F40" s="1754">
        <f>SUMIF(117:117,E40,118:118)-SUMIF(117:117,C40,118:118)+100</f>
        <v>100</v>
      </c>
      <c r="G40" s="1752" t="s">
        <v>2906</v>
      </c>
      <c r="H40" s="1711">
        <f>SUMIF(117:117,G40,118:118)-SUMIF(117:117,C40,118:118)+100</f>
        <v>100</v>
      </c>
      <c r="I40" s="1752" t="s">
        <v>2906</v>
      </c>
      <c r="J40" s="1711">
        <f>SUMIF(117:117,I40,118:118)-SUMIF(117:117,C40,118:118)+100</f>
        <v>100</v>
      </c>
      <c r="K40" s="1992">
        <v>1</v>
      </c>
      <c r="L40" s="3004"/>
      <c r="M40" s="3000"/>
      <c r="N40" s="3000"/>
      <c r="O40" s="3000"/>
      <c r="P40" s="3461"/>
      <c r="Q40" s="2918" t="str">
        <f t="shared" si="11"/>
        <v>市政基础设施</v>
      </c>
      <c r="R40" s="1725" t="s">
        <v>25</v>
      </c>
      <c r="S40" s="1726">
        <f t="shared" si="12"/>
        <v>100</v>
      </c>
      <c r="T40" s="1725" t="s">
        <v>25</v>
      </c>
      <c r="U40" s="1726">
        <f t="shared" si="13"/>
        <v>100</v>
      </c>
      <c r="V40" s="1725" t="s">
        <v>25</v>
      </c>
      <c r="W40" s="1726">
        <f t="shared" si="14"/>
        <v>100</v>
      </c>
      <c r="X40" s="2074"/>
      <c r="Y40" s="3461"/>
      <c r="Z40" s="2078" t="str">
        <f t="shared" si="15"/>
        <v>市政基础设施</v>
      </c>
      <c r="AA40" s="2069">
        <f t="shared" si="3"/>
        <v>1</v>
      </c>
      <c r="AB40" s="2069">
        <f t="shared" si="4"/>
        <v>1</v>
      </c>
      <c r="AC40" s="2069">
        <f t="shared" si="5"/>
        <v>1</v>
      </c>
    </row>
    <row r="41" spans="1:29" ht="15">
      <c r="A41" s="1772"/>
      <c r="B41" s="1695" t="s">
        <v>2374</v>
      </c>
      <c r="C41" s="1991" t="s">
        <v>2953</v>
      </c>
      <c r="D41" s="1711">
        <v>100</v>
      </c>
      <c r="E41" s="1991" t="s">
        <v>2953</v>
      </c>
      <c r="F41" s="1754">
        <f>SUMIF(119:119,E41,120:120)-SUMIF(119:119,C41,120:120)+100</f>
        <v>100</v>
      </c>
      <c r="G41" s="1991" t="s">
        <v>2953</v>
      </c>
      <c r="H41" s="1711">
        <f>SUMIF(119:119,G41,120:120)-SUMIF(119:119,C41,120:120)+100</f>
        <v>100</v>
      </c>
      <c r="I41" s="1991" t="s">
        <v>2953</v>
      </c>
      <c r="J41" s="1711">
        <f>SUMIF(119:119,I41,120:120)-SUMIF(119:119,C41,120:120)+100</f>
        <v>100</v>
      </c>
      <c r="K41" s="1992">
        <v>2</v>
      </c>
      <c r="L41" s="3004"/>
      <c r="M41" s="3000"/>
      <c r="N41" s="3000"/>
      <c r="O41" s="3000"/>
      <c r="P41" s="3461"/>
      <c r="Q41" s="2918" t="str">
        <f t="shared" si="11"/>
        <v>层高</v>
      </c>
      <c r="R41" s="1725" t="s">
        <v>25</v>
      </c>
      <c r="S41" s="1726">
        <f t="shared" si="12"/>
        <v>100</v>
      </c>
      <c r="T41" s="1725" t="s">
        <v>25</v>
      </c>
      <c r="U41" s="1726">
        <f t="shared" si="13"/>
        <v>100</v>
      </c>
      <c r="V41" s="1725" t="s">
        <v>25</v>
      </c>
      <c r="W41" s="1726">
        <f t="shared" si="14"/>
        <v>100</v>
      </c>
      <c r="X41" s="2074"/>
      <c r="Y41" s="3461"/>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61"/>
      <c r="Q42" s="1766" t="str">
        <f t="shared" si="11"/>
        <v>单套建筑面积</v>
      </c>
      <c r="R42" s="1767" t="s">
        <v>25</v>
      </c>
      <c r="S42" s="1768">
        <f t="shared" si="12"/>
        <v>100</v>
      </c>
      <c r="T42" s="1767" t="s">
        <v>25</v>
      </c>
      <c r="U42" s="1768">
        <f t="shared" si="13"/>
        <v>100</v>
      </c>
      <c r="V42" s="1767" t="s">
        <v>25</v>
      </c>
      <c r="W42" s="1768">
        <f t="shared" si="14"/>
        <v>100</v>
      </c>
      <c r="X42" s="1769"/>
      <c r="Y42" s="3461"/>
      <c r="Z42" s="1770" t="str">
        <f t="shared" si="15"/>
        <v>单套建筑面积</v>
      </c>
      <c r="AA42" s="2069">
        <f t="shared" si="3"/>
        <v>1</v>
      </c>
      <c r="AB42" s="2069">
        <f t="shared" si="4"/>
        <v>1</v>
      </c>
      <c r="AC42" s="2069">
        <f t="shared" si="5"/>
        <v>1</v>
      </c>
    </row>
    <row r="43" spans="1:29" ht="15">
      <c r="A43" s="1772"/>
      <c r="B43" s="1695" t="s">
        <v>2377</v>
      </c>
      <c r="C43" s="1752" t="s">
        <v>2948</v>
      </c>
      <c r="D43" s="1711">
        <v>100</v>
      </c>
      <c r="E43" s="1752" t="s">
        <v>2948</v>
      </c>
      <c r="F43" s="1754">
        <f>SUMIF(123:123,E43,124:124)-SUMIF(123:123,C43,124:124)+100</f>
        <v>100</v>
      </c>
      <c r="G43" s="1752" t="s">
        <v>2948</v>
      </c>
      <c r="H43" s="1711">
        <f>SUMIF(123:123,G43,124:124)-SUMIF(123:123,C43,124:124)+100</f>
        <v>100</v>
      </c>
      <c r="I43" s="1752" t="s">
        <v>2948</v>
      </c>
      <c r="J43" s="1711">
        <f>SUMIF(123:123,I43,124:124)-SUMIF(123:123,C43,124:124)+100</f>
        <v>100</v>
      </c>
      <c r="K43" s="1992">
        <v>2</v>
      </c>
      <c r="L43" s="3004"/>
      <c r="M43" s="3000"/>
      <c r="N43" s="3000"/>
      <c r="O43" s="3000"/>
      <c r="P43" s="3461"/>
      <c r="Q43" s="2918" t="str">
        <f t="shared" si="11"/>
        <v>内部装修</v>
      </c>
      <c r="R43" s="1725" t="s">
        <v>25</v>
      </c>
      <c r="S43" s="1726">
        <f t="shared" si="12"/>
        <v>100</v>
      </c>
      <c r="T43" s="1725" t="s">
        <v>25</v>
      </c>
      <c r="U43" s="1726">
        <f t="shared" si="13"/>
        <v>100</v>
      </c>
      <c r="V43" s="1725" t="s">
        <v>25</v>
      </c>
      <c r="W43" s="1726">
        <f t="shared" si="14"/>
        <v>100</v>
      </c>
      <c r="X43" s="2074"/>
      <c r="Y43" s="3461"/>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61"/>
      <c r="Q44" s="2918" t="str">
        <f t="shared" si="11"/>
        <v>内部装修维护情况</v>
      </c>
      <c r="R44" s="1725" t="s">
        <v>25</v>
      </c>
      <c r="S44" s="1726">
        <f t="shared" si="12"/>
        <v>100</v>
      </c>
      <c r="T44" s="1725" t="s">
        <v>25</v>
      </c>
      <c r="U44" s="1726">
        <f t="shared" si="13"/>
        <v>100</v>
      </c>
      <c r="V44" s="1725" t="s">
        <v>25</v>
      </c>
      <c r="W44" s="1726">
        <f t="shared" si="14"/>
        <v>100</v>
      </c>
      <c r="X44" s="2074"/>
      <c r="Y44" s="3461"/>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61"/>
      <c r="Q45" s="2917">
        <f t="shared" si="11"/>
        <v>111</v>
      </c>
      <c r="R45" s="1681" t="s">
        <v>25</v>
      </c>
      <c r="S45" s="1682">
        <f t="shared" si="12"/>
        <v>100</v>
      </c>
      <c r="T45" s="1681" t="s">
        <v>25</v>
      </c>
      <c r="U45" s="1682">
        <f t="shared" si="13"/>
        <v>100</v>
      </c>
      <c r="V45" s="1681" t="s">
        <v>25</v>
      </c>
      <c r="W45" s="1682">
        <f t="shared" si="14"/>
        <v>100</v>
      </c>
      <c r="X45" s="1683"/>
      <c r="Y45" s="3461"/>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61"/>
      <c r="Q46" s="2918">
        <f t="shared" si="11"/>
        <v>111</v>
      </c>
      <c r="R46" s="1725" t="s">
        <v>25</v>
      </c>
      <c r="S46" s="1726">
        <f t="shared" si="12"/>
        <v>100</v>
      </c>
      <c r="T46" s="1725" t="s">
        <v>25</v>
      </c>
      <c r="U46" s="1726">
        <f t="shared" si="13"/>
        <v>100</v>
      </c>
      <c r="V46" s="1725" t="s">
        <v>25</v>
      </c>
      <c r="W46" s="1726">
        <f t="shared" si="14"/>
        <v>100</v>
      </c>
      <c r="X46" s="2074"/>
      <c r="Y46" s="3461"/>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62"/>
      <c r="Q47" s="2918">
        <f t="shared" si="11"/>
        <v>111</v>
      </c>
      <c r="R47" s="1725" t="s">
        <v>25</v>
      </c>
      <c r="S47" s="1726">
        <f t="shared" si="12"/>
        <v>100</v>
      </c>
      <c r="T47" s="1725" t="s">
        <v>25</v>
      </c>
      <c r="U47" s="1726">
        <f t="shared" si="13"/>
        <v>100</v>
      </c>
      <c r="V47" s="1725" t="s">
        <v>25</v>
      </c>
      <c r="W47" s="1726">
        <f t="shared" si="14"/>
        <v>100</v>
      </c>
      <c r="X47" s="2074"/>
      <c r="Y47" s="3462"/>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468" t="str">
        <f>A48</f>
        <v>成交单价（元/平方米）</v>
      </c>
      <c r="Q48" s="3468"/>
      <c r="R48" s="3469">
        <f>E48</f>
        <v>4</v>
      </c>
      <c r="S48" s="3469"/>
      <c r="T48" s="3469">
        <f>G48</f>
        <v>4.5</v>
      </c>
      <c r="U48" s="3469"/>
      <c r="V48" s="3469">
        <f>I48</f>
        <v>4.8</v>
      </c>
      <c r="W48" s="3469"/>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68" t="str">
        <f>A49</f>
        <v>比较价值（元/平方米）</v>
      </c>
      <c r="Q49" s="3468"/>
      <c r="R49" s="3469">
        <f>IF(E1="售价",ROUND(PRODUCT(R48,AA7:AA47),0),ROUND(PRODUCT(R48,AA7:AA47),1))</f>
        <v>4.0999999999999996</v>
      </c>
      <c r="S49" s="3469"/>
      <c r="T49" s="3469">
        <f>IF(E1="售价",ROUND(PRODUCT(T48,AB7:AB47),0),ROUND(PRODUCT(T48,AB7:AB47),1))</f>
        <v>4.5</v>
      </c>
      <c r="U49" s="3469"/>
      <c r="V49" s="3469">
        <f>IF(E1="售价",ROUND(PRODUCT(V48,AC7:AC47),0),ROUND(PRODUCT(V48,AC7:AC47),1))</f>
        <v>4.9000000000000004</v>
      </c>
      <c r="W49" s="3469"/>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474" t="str">
        <f>A50</f>
        <v>估价对象XX用房的比较价值（楼面单价，元/平方米）</v>
      </c>
      <c r="Q50" s="3475"/>
      <c r="R50" s="3476">
        <f>IF(E1="售价",ROUND(IF(D49="简单平均",AVERAGE(R49:V49),R49*F49+T49*H49+V49*J49),0),ROUND(IF(D49="简单平均",AVERAGE(R49:V49),R49*F49+T49*H49+V49*J49),1))</f>
        <v>4.5</v>
      </c>
      <c r="S50" s="3476"/>
      <c r="T50" s="3476"/>
      <c r="U50" s="3476"/>
      <c r="V50" s="3476"/>
      <c r="W50" s="3476"/>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2024-8</v>
      </c>
      <c r="D59" s="1825">
        <f>EDATE(C59,-1)</f>
        <v>45474</v>
      </c>
      <c r="E59" s="1825">
        <f t="shared" ref="E59:O59" si="16">EDATE(D59,-1)</f>
        <v>45444</v>
      </c>
      <c r="F59" s="1825">
        <f t="shared" si="16"/>
        <v>45413</v>
      </c>
      <c r="G59" s="1825">
        <f t="shared" si="16"/>
        <v>45383</v>
      </c>
      <c r="H59" s="1825">
        <f t="shared" si="16"/>
        <v>45352</v>
      </c>
      <c r="I59" s="1825">
        <f t="shared" si="16"/>
        <v>45323</v>
      </c>
      <c r="J59" s="1825">
        <f t="shared" si="16"/>
        <v>45292</v>
      </c>
      <c r="K59" s="1825">
        <f t="shared" si="16"/>
        <v>45261</v>
      </c>
      <c r="L59" s="1825">
        <f t="shared" si="16"/>
        <v>45231</v>
      </c>
      <c r="M59" s="1825">
        <f t="shared" si="16"/>
        <v>45200</v>
      </c>
      <c r="N59" s="1825">
        <f t="shared" si="16"/>
        <v>45170</v>
      </c>
      <c r="O59" s="1825">
        <f t="shared" si="16"/>
        <v>45139</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3" t="s">
        <v>2935</v>
      </c>
      <c r="D87" s="3153" t="s">
        <v>2921</v>
      </c>
      <c r="E87" s="3153" t="s">
        <v>2924</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3" t="s">
        <v>2940</v>
      </c>
      <c r="D89" s="3153" t="s">
        <v>2942</v>
      </c>
      <c r="E89" s="3153" t="s">
        <v>2943</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3" t="s">
        <v>2949</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3" t="s">
        <v>2945</v>
      </c>
      <c r="D113" s="3153" t="s">
        <v>2947</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3" t="s">
        <v>2951</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3" t="s">
        <v>2952</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9" t="s">
        <v>2954</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3" t="s">
        <v>2949</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503" t="s">
        <v>2255</v>
      </c>
      <c r="S4" s="3504"/>
      <c r="T4" s="3503" t="s">
        <v>2256</v>
      </c>
      <c r="U4" s="3504"/>
      <c r="V4" s="3509" t="s">
        <v>2257</v>
      </c>
      <c r="W4" s="3509"/>
      <c r="X4" s="1335"/>
      <c r="Y4" s="3503" t="s">
        <v>2259</v>
      </c>
      <c r="Z4" s="3504"/>
      <c r="AA4" s="3490" t="s">
        <v>2255</v>
      </c>
      <c r="AB4" s="3491" t="s">
        <v>2256</v>
      </c>
      <c r="AC4" s="3490" t="s">
        <v>2257</v>
      </c>
    </row>
    <row r="5" spans="1:29">
      <c r="A5" s="297"/>
      <c r="B5" s="298"/>
      <c r="C5" s="3486" t="s">
        <v>2260</v>
      </c>
      <c r="D5" s="3487"/>
      <c r="E5" s="3510" t="s">
        <v>2261</v>
      </c>
      <c r="F5" s="3511"/>
      <c r="G5" s="3486" t="s">
        <v>2262</v>
      </c>
      <c r="H5" s="3487"/>
      <c r="I5" s="3486" t="s">
        <v>2263</v>
      </c>
      <c r="J5" s="3487"/>
      <c r="K5" s="496"/>
      <c r="L5" s="3027"/>
      <c r="M5" s="3028"/>
      <c r="N5" s="3028"/>
      <c r="O5" s="3028"/>
      <c r="P5" s="3499"/>
      <c r="Q5" s="3500"/>
      <c r="R5" s="3505"/>
      <c r="S5" s="3506"/>
      <c r="T5" s="3505"/>
      <c r="U5" s="3506"/>
      <c r="V5" s="3509"/>
      <c r="W5" s="3509"/>
      <c r="X5" s="1335"/>
      <c r="Y5" s="3505"/>
      <c r="Z5" s="3506"/>
      <c r="AA5" s="3491"/>
      <c r="AB5" s="3491"/>
      <c r="AC5" s="3491"/>
    </row>
    <row r="6" spans="1:29" ht="15" thickBot="1">
      <c r="A6" s="299"/>
      <c r="B6" s="300"/>
      <c r="C6" s="3483" t="s">
        <v>2264</v>
      </c>
      <c r="D6" s="3484"/>
      <c r="E6" s="3481" t="s">
        <v>2264</v>
      </c>
      <c r="F6" s="3482"/>
      <c r="G6" s="3483" t="s">
        <v>2264</v>
      </c>
      <c r="H6" s="3484"/>
      <c r="I6" s="3483" t="s">
        <v>2264</v>
      </c>
      <c r="J6" s="3484"/>
      <c r="K6" s="496" t="s">
        <v>2265</v>
      </c>
      <c r="L6" s="3027"/>
      <c r="M6" s="3028"/>
      <c r="N6" s="3028"/>
      <c r="O6" s="3028"/>
      <c r="P6" s="3501"/>
      <c r="Q6" s="3502"/>
      <c r="R6" s="3505"/>
      <c r="S6" s="3506"/>
      <c r="T6" s="3507"/>
      <c r="U6" s="3508"/>
      <c r="V6" s="3509"/>
      <c r="W6" s="3509"/>
      <c r="X6" s="1335"/>
      <c r="Y6" s="3507"/>
      <c r="Z6" s="3508"/>
      <c r="AA6" s="3492"/>
      <c r="AB6" s="3492"/>
      <c r="AC6" s="3492"/>
    </row>
    <row r="7" spans="1:29" s="25" customFormat="1" ht="15" thickBot="1">
      <c r="A7" s="301" t="s">
        <v>2266</v>
      </c>
      <c r="B7" s="302"/>
      <c r="C7" s="303">
        <f>'数据-取费表'!B2</f>
        <v>45513</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88" t="s">
        <v>2267</v>
      </c>
      <c r="Q7" s="3512"/>
      <c r="R7" s="627" t="s">
        <v>25</v>
      </c>
      <c r="S7" s="628">
        <f t="shared" ref="S7:S15" si="0">F7</f>
        <v>0</v>
      </c>
      <c r="T7" s="627" t="s">
        <v>25</v>
      </c>
      <c r="U7" s="628">
        <f t="shared" ref="U7:U15" si="1">H7</f>
        <v>0</v>
      </c>
      <c r="V7" s="627" t="s">
        <v>25</v>
      </c>
      <c r="W7" s="628">
        <f t="shared" ref="W7:W15" si="2">J7</f>
        <v>0</v>
      </c>
      <c r="X7" s="629"/>
      <c r="Y7" s="3488" t="s">
        <v>2267</v>
      </c>
      <c r="Z7" s="3489"/>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88" t="s">
        <v>2270</v>
      </c>
      <c r="Q8" s="3489"/>
      <c r="R8" s="627" t="s">
        <v>25</v>
      </c>
      <c r="S8" s="628">
        <f t="shared" si="0"/>
        <v>0</v>
      </c>
      <c r="T8" s="627" t="s">
        <v>25</v>
      </c>
      <c r="U8" s="628">
        <f t="shared" si="1"/>
        <v>0</v>
      </c>
      <c r="V8" s="627" t="s">
        <v>25</v>
      </c>
      <c r="W8" s="628">
        <f t="shared" si="2"/>
        <v>0</v>
      </c>
      <c r="X8" s="629"/>
      <c r="Y8" s="3488" t="s">
        <v>2270</v>
      </c>
      <c r="Z8" s="3489"/>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85" t="s">
        <v>2273</v>
      </c>
      <c r="Q9" s="1327" t="str">
        <f t="shared" ref="Q9:Q15" si="6">B9</f>
        <v>用途</v>
      </c>
      <c r="R9" s="627" t="s">
        <v>25</v>
      </c>
      <c r="S9" s="628">
        <f t="shared" si="0"/>
        <v>100</v>
      </c>
      <c r="T9" s="627" t="s">
        <v>25</v>
      </c>
      <c r="U9" s="628">
        <f t="shared" si="1"/>
        <v>100</v>
      </c>
      <c r="V9" s="627" t="s">
        <v>25</v>
      </c>
      <c r="W9" s="628">
        <f t="shared" si="2"/>
        <v>100</v>
      </c>
      <c r="X9" s="629"/>
      <c r="Y9" s="3515"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85"/>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85"/>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13" t="s">
        <v>2278</v>
      </c>
      <c r="Q15" s="1334" t="str">
        <f t="shared" si="6"/>
        <v>产业集聚程度</v>
      </c>
      <c r="R15" s="631" t="s">
        <v>25</v>
      </c>
      <c r="S15" s="632">
        <f t="shared" si="0"/>
        <v>100</v>
      </c>
      <c r="T15" s="631" t="s">
        <v>25</v>
      </c>
      <c r="U15" s="632">
        <f t="shared" si="1"/>
        <v>100</v>
      </c>
      <c r="V15" s="631" t="s">
        <v>25</v>
      </c>
      <c r="W15" s="632">
        <f t="shared" si="2"/>
        <v>100</v>
      </c>
      <c r="X15" s="1335"/>
      <c r="Y15" s="351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14"/>
      <c r="Q16" s="1334"/>
      <c r="R16" s="631"/>
      <c r="S16" s="632"/>
      <c r="T16" s="631"/>
      <c r="U16" s="632"/>
      <c r="V16" s="631"/>
      <c r="W16" s="632"/>
      <c r="X16" s="1335"/>
      <c r="Y16" s="3514"/>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14"/>
      <c r="Q18" s="1334"/>
      <c r="R18" s="631"/>
      <c r="S18" s="632"/>
      <c r="T18" s="631"/>
      <c r="U18" s="632"/>
      <c r="V18" s="631"/>
      <c r="W18" s="632"/>
      <c r="X18" s="1335"/>
      <c r="Y18" s="3514"/>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14"/>
      <c r="Q19" s="1334" t="str">
        <f>B19</f>
        <v>公共配套设施</v>
      </c>
      <c r="R19" s="631" t="s">
        <v>25</v>
      </c>
      <c r="S19" s="632">
        <f>F19</f>
        <v>100</v>
      </c>
      <c r="T19" s="631" t="s">
        <v>25</v>
      </c>
      <c r="U19" s="632">
        <f>H19</f>
        <v>100</v>
      </c>
      <c r="V19" s="631" t="s">
        <v>25</v>
      </c>
      <c r="W19" s="632">
        <f>J19</f>
        <v>100</v>
      </c>
      <c r="X19" s="1335"/>
      <c r="Y19" s="351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14"/>
      <c r="Q20" s="1334"/>
      <c r="R20" s="631"/>
      <c r="S20" s="632"/>
      <c r="T20" s="631"/>
      <c r="U20" s="632"/>
      <c r="V20" s="631"/>
      <c r="W20" s="632"/>
      <c r="X20" s="1335"/>
      <c r="Y20" s="3514"/>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14"/>
      <c r="Q21" s="1334" t="str">
        <f>B21</f>
        <v>基础设施水平</v>
      </c>
      <c r="R21" s="631" t="s">
        <v>25</v>
      </c>
      <c r="S21" s="632">
        <f>F21</f>
        <v>100</v>
      </c>
      <c r="T21" s="631" t="s">
        <v>25</v>
      </c>
      <c r="U21" s="632">
        <f>H21</f>
        <v>100</v>
      </c>
      <c r="V21" s="631" t="s">
        <v>25</v>
      </c>
      <c r="W21" s="632">
        <f>J21</f>
        <v>100</v>
      </c>
      <c r="X21" s="1335"/>
      <c r="Y21" s="351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14"/>
      <c r="Q22" s="1334"/>
      <c r="R22" s="631"/>
      <c r="S22" s="632"/>
      <c r="T22" s="631"/>
      <c r="U22" s="632"/>
      <c r="V22" s="631"/>
      <c r="W22" s="632"/>
      <c r="X22" s="1335"/>
      <c r="Y22" s="3514"/>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14"/>
      <c r="Q23" s="1334" t="str">
        <f>B23</f>
        <v>环境质量</v>
      </c>
      <c r="R23" s="631" t="s">
        <v>25</v>
      </c>
      <c r="S23" s="632">
        <f>F23</f>
        <v>100</v>
      </c>
      <c r="T23" s="631" t="s">
        <v>25</v>
      </c>
      <c r="U23" s="632">
        <f>H23</f>
        <v>100</v>
      </c>
      <c r="V23" s="631" t="s">
        <v>25</v>
      </c>
      <c r="W23" s="632">
        <f>J23</f>
        <v>100</v>
      </c>
      <c r="X23" s="1335"/>
      <c r="Y23" s="351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14"/>
      <c r="Q24" s="1334"/>
      <c r="R24" s="631"/>
      <c r="S24" s="632"/>
      <c r="T24" s="631"/>
      <c r="U24" s="632"/>
      <c r="V24" s="631"/>
      <c r="W24" s="632"/>
      <c r="X24" s="1335"/>
      <c r="Y24" s="351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14"/>
      <c r="Q25" s="1334">
        <f>B25</f>
        <v>111</v>
      </c>
      <c r="R25" s="631" t="s">
        <v>25</v>
      </c>
      <c r="S25" s="632">
        <f>F25</f>
        <v>100</v>
      </c>
      <c r="T25" s="631" t="s">
        <v>25</v>
      </c>
      <c r="U25" s="632">
        <f>H25</f>
        <v>100</v>
      </c>
      <c r="V25" s="631" t="s">
        <v>25</v>
      </c>
      <c r="W25" s="632">
        <f>J25</f>
        <v>100</v>
      </c>
      <c r="X25" s="1335"/>
      <c r="Y25" s="351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14"/>
      <c r="Q26" s="1334">
        <f t="shared" ref="Q26:Q40" si="11">B26</f>
        <v>111</v>
      </c>
      <c r="R26" s="631" t="s">
        <v>25</v>
      </c>
      <c r="S26" s="632">
        <f>F26</f>
        <v>100</v>
      </c>
      <c r="T26" s="631" t="s">
        <v>25</v>
      </c>
      <c r="U26" s="632">
        <f>H26</f>
        <v>100</v>
      </c>
      <c r="V26" s="631" t="s">
        <v>25</v>
      </c>
      <c r="W26" s="632">
        <f>J26</f>
        <v>100</v>
      </c>
      <c r="X26" s="1335"/>
      <c r="Y26" s="351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14"/>
      <c r="Q27" s="1327">
        <f t="shared" si="11"/>
        <v>111</v>
      </c>
      <c r="R27" s="627" t="s">
        <v>25</v>
      </c>
      <c r="S27" s="628">
        <f>F27</f>
        <v>100</v>
      </c>
      <c r="T27" s="627" t="s">
        <v>25</v>
      </c>
      <c r="U27" s="628">
        <f>H27</f>
        <v>100</v>
      </c>
      <c r="V27" s="627" t="s">
        <v>25</v>
      </c>
      <c r="W27" s="628">
        <f>J27</f>
        <v>100</v>
      </c>
      <c r="X27" s="629"/>
      <c r="Y27" s="3514"/>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14"/>
      <c r="Q28" s="1334">
        <f t="shared" si="11"/>
        <v>111</v>
      </c>
      <c r="R28" s="631" t="s">
        <v>25</v>
      </c>
      <c r="S28" s="632">
        <f t="shared" ref="S28:S40" si="12">F28</f>
        <v>100</v>
      </c>
      <c r="T28" s="631" t="s">
        <v>25</v>
      </c>
      <c r="U28" s="632">
        <f t="shared" ref="U28:U40" si="13">H28</f>
        <v>100</v>
      </c>
      <c r="V28" s="631" t="s">
        <v>25</v>
      </c>
      <c r="W28" s="632">
        <f t="shared" ref="W28:W40" si="14">J28</f>
        <v>100</v>
      </c>
      <c r="X28" s="1335"/>
      <c r="Y28" s="3514"/>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16" t="s">
        <v>2284</v>
      </c>
      <c r="Q29" s="1334" t="str">
        <f t="shared" si="11"/>
        <v>建筑类型</v>
      </c>
      <c r="R29" s="631" t="s">
        <v>25</v>
      </c>
      <c r="S29" s="632">
        <f t="shared" si="12"/>
        <v>100</v>
      </c>
      <c r="T29" s="631" t="s">
        <v>25</v>
      </c>
      <c r="U29" s="632">
        <f t="shared" si="13"/>
        <v>100</v>
      </c>
      <c r="V29" s="631" t="s">
        <v>25</v>
      </c>
      <c r="W29" s="632">
        <f t="shared" si="14"/>
        <v>100</v>
      </c>
      <c r="X29" s="1335"/>
      <c r="Y29" s="351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17"/>
      <c r="Q30" s="633" t="str">
        <f t="shared" si="11"/>
        <v>项目建筑规模</v>
      </c>
      <c r="R30" s="634" t="s">
        <v>25</v>
      </c>
      <c r="S30" s="635" t="e">
        <f t="shared" si="12"/>
        <v>#N/A</v>
      </c>
      <c r="T30" s="634" t="s">
        <v>25</v>
      </c>
      <c r="U30" s="635" t="e">
        <f t="shared" si="13"/>
        <v>#N/A</v>
      </c>
      <c r="V30" s="634" t="s">
        <v>25</v>
      </c>
      <c r="W30" s="635" t="e">
        <f t="shared" si="14"/>
        <v>#N/A</v>
      </c>
      <c r="X30" s="636"/>
      <c r="Y30" s="351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17"/>
      <c r="Q31" s="1334" t="str">
        <f t="shared" si="11"/>
        <v>建筑结构</v>
      </c>
      <c r="R31" s="631" t="s">
        <v>25</v>
      </c>
      <c r="S31" s="632">
        <f t="shared" si="12"/>
        <v>100</v>
      </c>
      <c r="T31" s="631" t="s">
        <v>25</v>
      </c>
      <c r="U31" s="632">
        <f t="shared" si="13"/>
        <v>100</v>
      </c>
      <c r="V31" s="631" t="s">
        <v>25</v>
      </c>
      <c r="W31" s="632">
        <f t="shared" si="14"/>
        <v>100</v>
      </c>
      <c r="X31" s="1335"/>
      <c r="Y31" s="3517"/>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17"/>
      <c r="Q32" s="1334" t="str">
        <f t="shared" si="11"/>
        <v>公共部分装修</v>
      </c>
      <c r="R32" s="631" t="s">
        <v>25</v>
      </c>
      <c r="S32" s="632">
        <f t="shared" si="12"/>
        <v>100</v>
      </c>
      <c r="T32" s="631" t="s">
        <v>25</v>
      </c>
      <c r="U32" s="632">
        <f t="shared" si="13"/>
        <v>100</v>
      </c>
      <c r="V32" s="631" t="s">
        <v>25</v>
      </c>
      <c r="W32" s="632">
        <f t="shared" si="14"/>
        <v>100</v>
      </c>
      <c r="X32" s="1335"/>
      <c r="Y32" s="3517"/>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17"/>
      <c r="Q33" s="1334" t="str">
        <f t="shared" si="11"/>
        <v>成新度</v>
      </c>
      <c r="R33" s="631" t="s">
        <v>25</v>
      </c>
      <c r="S33" s="632" t="e">
        <f t="shared" si="12"/>
        <v>#N/A</v>
      </c>
      <c r="T33" s="631" t="s">
        <v>25</v>
      </c>
      <c r="U33" s="632" t="e">
        <f t="shared" si="13"/>
        <v>#N/A</v>
      </c>
      <c r="V33" s="631" t="s">
        <v>25</v>
      </c>
      <c r="W33" s="632" t="e">
        <f t="shared" si="14"/>
        <v>#N/A</v>
      </c>
      <c r="X33" s="1335"/>
      <c r="Y33" s="3517"/>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17"/>
      <c r="Q34" s="1327" t="str">
        <f t="shared" si="11"/>
        <v>物业管理</v>
      </c>
      <c r="R34" s="627" t="s">
        <v>25</v>
      </c>
      <c r="S34" s="628">
        <f t="shared" si="12"/>
        <v>100</v>
      </c>
      <c r="T34" s="627" t="s">
        <v>25</v>
      </c>
      <c r="U34" s="628">
        <f t="shared" si="13"/>
        <v>100</v>
      </c>
      <c r="V34" s="627" t="s">
        <v>25</v>
      </c>
      <c r="W34" s="628">
        <f t="shared" si="14"/>
        <v>100</v>
      </c>
      <c r="X34" s="629"/>
      <c r="Y34" s="3517"/>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17" t="s">
        <v>2284</v>
      </c>
      <c r="Q35" s="1334" t="str">
        <f t="shared" si="11"/>
        <v>市政基础设施</v>
      </c>
      <c r="R35" s="631" t="s">
        <v>25</v>
      </c>
      <c r="S35" s="632">
        <f t="shared" si="12"/>
        <v>100</v>
      </c>
      <c r="T35" s="631" t="s">
        <v>25</v>
      </c>
      <c r="U35" s="632">
        <f t="shared" si="13"/>
        <v>100</v>
      </c>
      <c r="V35" s="631" t="s">
        <v>25</v>
      </c>
      <c r="W35" s="632">
        <f t="shared" si="14"/>
        <v>100</v>
      </c>
      <c r="X35" s="1335"/>
      <c r="Y35" s="3517"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17"/>
      <c r="Q36" s="1334" t="str">
        <f t="shared" si="11"/>
        <v>内部装修</v>
      </c>
      <c r="R36" s="631" t="s">
        <v>25</v>
      </c>
      <c r="S36" s="632">
        <f t="shared" si="12"/>
        <v>100</v>
      </c>
      <c r="T36" s="631" t="s">
        <v>25</v>
      </c>
      <c r="U36" s="632">
        <f t="shared" si="13"/>
        <v>100</v>
      </c>
      <c r="V36" s="631" t="s">
        <v>25</v>
      </c>
      <c r="W36" s="632">
        <f t="shared" si="14"/>
        <v>100</v>
      </c>
      <c r="X36" s="1335"/>
      <c r="Y36" s="3517"/>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17"/>
      <c r="Q37" s="1334" t="str">
        <f t="shared" si="11"/>
        <v>内部装修状况</v>
      </c>
      <c r="R37" s="631" t="s">
        <v>25</v>
      </c>
      <c r="S37" s="632">
        <f t="shared" si="12"/>
        <v>100</v>
      </c>
      <c r="T37" s="631" t="s">
        <v>25</v>
      </c>
      <c r="U37" s="632">
        <f t="shared" si="13"/>
        <v>100</v>
      </c>
      <c r="V37" s="631" t="s">
        <v>25</v>
      </c>
      <c r="W37" s="632">
        <f t="shared" si="14"/>
        <v>100</v>
      </c>
      <c r="X37" s="1335"/>
      <c r="Y37" s="351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17"/>
      <c r="Q38" s="633">
        <f t="shared" si="11"/>
        <v>111</v>
      </c>
      <c r="R38" s="634" t="s">
        <v>25</v>
      </c>
      <c r="S38" s="635">
        <f t="shared" si="12"/>
        <v>100</v>
      </c>
      <c r="T38" s="634" t="s">
        <v>25</v>
      </c>
      <c r="U38" s="635">
        <f t="shared" si="13"/>
        <v>100</v>
      </c>
      <c r="V38" s="634" t="s">
        <v>25</v>
      </c>
      <c r="W38" s="635">
        <f t="shared" si="14"/>
        <v>100</v>
      </c>
      <c r="X38" s="636"/>
      <c r="Y38" s="351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17"/>
      <c r="Q39" s="1334">
        <f t="shared" si="11"/>
        <v>111</v>
      </c>
      <c r="R39" s="631" t="s">
        <v>25</v>
      </c>
      <c r="S39" s="632">
        <f t="shared" si="12"/>
        <v>100</v>
      </c>
      <c r="T39" s="631" t="s">
        <v>25</v>
      </c>
      <c r="U39" s="632">
        <f t="shared" si="13"/>
        <v>100</v>
      </c>
      <c r="V39" s="631" t="s">
        <v>25</v>
      </c>
      <c r="W39" s="632">
        <f t="shared" si="14"/>
        <v>100</v>
      </c>
      <c r="X39" s="1335"/>
      <c r="Y39" s="3517"/>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18"/>
      <c r="Q40" s="1334">
        <f t="shared" si="11"/>
        <v>111</v>
      </c>
      <c r="R40" s="631" t="s">
        <v>25</v>
      </c>
      <c r="S40" s="632">
        <f t="shared" si="12"/>
        <v>100</v>
      </c>
      <c r="T40" s="631" t="s">
        <v>25</v>
      </c>
      <c r="U40" s="632">
        <f t="shared" si="13"/>
        <v>100</v>
      </c>
      <c r="V40" s="631" t="s">
        <v>25</v>
      </c>
      <c r="W40" s="632">
        <f t="shared" si="14"/>
        <v>100</v>
      </c>
      <c r="X40" s="1335"/>
      <c r="Y40" s="3518"/>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485" t="str">
        <f>A41</f>
        <v>成交单价（元/平方米）</v>
      </c>
      <c r="Q41" s="3485"/>
      <c r="R41" s="3519">
        <f>E41</f>
        <v>0</v>
      </c>
      <c r="S41" s="3519"/>
      <c r="T41" s="3519">
        <f>G41</f>
        <v>0</v>
      </c>
      <c r="U41" s="3519"/>
      <c r="V41" s="3519">
        <f>I41</f>
        <v>0</v>
      </c>
      <c r="W41" s="3519"/>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485" t="str">
        <f>A42</f>
        <v>比较价值（元/平方米）</v>
      </c>
      <c r="Q42" s="3485"/>
      <c r="R42" s="3519" t="e">
        <f>IF(E1="售价",ROUND(PRODUCT(R41,AA7:AA40),0),ROUND(PRODUCT(R41,AA7:AA40),1))</f>
        <v>#DIV/0!</v>
      </c>
      <c r="S42" s="3519"/>
      <c r="T42" s="3519" t="e">
        <f>IF(E1="售价",ROUND(PRODUCT(T41,AB7:AB40),0),ROUND(PRODUCT(T41,AB7:AB40),1))</f>
        <v>#DIV/0!</v>
      </c>
      <c r="U42" s="3519"/>
      <c r="V42" s="3519" t="e">
        <f>IF(E1="售价",ROUND(PRODUCT(V41,AC7:AC40),0),ROUND(PRODUCT(V41,AC7:AC40),1))</f>
        <v>#DIV/0!</v>
      </c>
      <c r="W42" s="3519"/>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20" t="str">
        <f>A43</f>
        <v>估价对象XX用房的比较价值（楼面单价，元/平方米）</v>
      </c>
      <c r="Q43" s="3521"/>
      <c r="R43" s="3522" t="e">
        <f>IF(E1="售价",ROUND(IF(D42="简单平均",AVERAGE(R42:V42),R42*F42+T42*H42+V42*J42),0),ROUND(IF(D42="简单平均",AVERAGE(R42:V42),R42*F42+T42*H42+V42*J42),1))</f>
        <v>#DIV/0!</v>
      </c>
      <c r="S43" s="3522"/>
      <c r="T43" s="3522"/>
      <c r="U43" s="3522"/>
      <c r="V43" s="3522"/>
      <c r="W43" s="3522"/>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2024-8</v>
      </c>
      <c r="D52" s="1188">
        <f>EDATE(C52,-1)</f>
        <v>45474</v>
      </c>
      <c r="E52" s="1189">
        <f t="shared" ref="E52:O52" si="16">EDATE(D52,-1)</f>
        <v>45444</v>
      </c>
      <c r="F52" s="1189">
        <f t="shared" si="16"/>
        <v>45413</v>
      </c>
      <c r="G52" s="1189">
        <f t="shared" si="16"/>
        <v>45383</v>
      </c>
      <c r="H52" s="1189">
        <f t="shared" si="16"/>
        <v>45352</v>
      </c>
      <c r="I52" s="1189">
        <f t="shared" si="16"/>
        <v>45323</v>
      </c>
      <c r="J52" s="1189">
        <f t="shared" si="16"/>
        <v>45292</v>
      </c>
      <c r="K52" s="1189">
        <f t="shared" si="16"/>
        <v>45261</v>
      </c>
      <c r="L52" s="1189">
        <f t="shared" si="16"/>
        <v>45231</v>
      </c>
      <c r="M52" s="1189">
        <f t="shared" si="16"/>
        <v>45200</v>
      </c>
      <c r="N52" s="1189">
        <f t="shared" si="16"/>
        <v>45170</v>
      </c>
      <c r="O52" s="1189">
        <f t="shared" si="16"/>
        <v>45139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f>'数据-取费表'!B3</f>
        <v>0</v>
      </c>
      <c r="D2" s="1560"/>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503" t="s">
        <v>2255</v>
      </c>
      <c r="S4" s="3504"/>
      <c r="T4" s="3503" t="s">
        <v>2256</v>
      </c>
      <c r="U4" s="3504"/>
      <c r="V4" s="3509" t="s">
        <v>2257</v>
      </c>
      <c r="W4" s="3509"/>
      <c r="X4" s="1335"/>
      <c r="Y4" s="3503" t="s">
        <v>2259</v>
      </c>
      <c r="Z4" s="3504"/>
      <c r="AA4" s="3490" t="s">
        <v>2255</v>
      </c>
      <c r="AB4" s="3491" t="s">
        <v>2256</v>
      </c>
      <c r="AC4" s="3490" t="s">
        <v>2257</v>
      </c>
    </row>
    <row r="5" spans="1:29">
      <c r="A5" s="297"/>
      <c r="B5" s="298"/>
      <c r="C5" s="3486" t="s">
        <v>2260</v>
      </c>
      <c r="D5" s="3487"/>
      <c r="E5" s="3510" t="s">
        <v>2261</v>
      </c>
      <c r="F5" s="3511"/>
      <c r="G5" s="3486" t="s">
        <v>2262</v>
      </c>
      <c r="H5" s="3487"/>
      <c r="I5" s="3486" t="s">
        <v>2263</v>
      </c>
      <c r="J5" s="3487"/>
      <c r="K5" s="496"/>
      <c r="L5" s="3027"/>
      <c r="M5" s="3028"/>
      <c r="N5" s="3028"/>
      <c r="O5" s="3028"/>
      <c r="P5" s="3499"/>
      <c r="Q5" s="3500"/>
      <c r="R5" s="3505"/>
      <c r="S5" s="3506"/>
      <c r="T5" s="3505"/>
      <c r="U5" s="3506"/>
      <c r="V5" s="3509"/>
      <c r="W5" s="3509"/>
      <c r="X5" s="1335"/>
      <c r="Y5" s="3505"/>
      <c r="Z5" s="3506"/>
      <c r="AA5" s="3491"/>
      <c r="AB5" s="3491"/>
      <c r="AC5" s="3491"/>
    </row>
    <row r="6" spans="1:29" ht="15" thickBot="1">
      <c r="A6" s="299"/>
      <c r="B6" s="300"/>
      <c r="C6" s="3483" t="s">
        <v>2264</v>
      </c>
      <c r="D6" s="3484"/>
      <c r="E6" s="3481" t="s">
        <v>2264</v>
      </c>
      <c r="F6" s="3482"/>
      <c r="G6" s="3483" t="s">
        <v>2264</v>
      </c>
      <c r="H6" s="3484"/>
      <c r="I6" s="3483" t="s">
        <v>2264</v>
      </c>
      <c r="J6" s="3484"/>
      <c r="K6" s="496" t="s">
        <v>2265</v>
      </c>
      <c r="L6" s="3027"/>
      <c r="M6" s="3028"/>
      <c r="N6" s="3028"/>
      <c r="O6" s="3028"/>
      <c r="P6" s="3501"/>
      <c r="Q6" s="3502"/>
      <c r="R6" s="3505"/>
      <c r="S6" s="3506"/>
      <c r="T6" s="3507"/>
      <c r="U6" s="3508"/>
      <c r="V6" s="3509"/>
      <c r="W6" s="3509"/>
      <c r="X6" s="1335"/>
      <c r="Y6" s="3507"/>
      <c r="Z6" s="3508"/>
      <c r="AA6" s="3492"/>
      <c r="AB6" s="3492"/>
      <c r="AC6" s="3492"/>
    </row>
    <row r="7" spans="1:29" s="25" customFormat="1" ht="15" thickBot="1">
      <c r="A7" s="301" t="s">
        <v>2266</v>
      </c>
      <c r="B7" s="302"/>
      <c r="C7" s="303">
        <f>'数据-取费表'!B2</f>
        <v>45513</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88" t="s">
        <v>2267</v>
      </c>
      <c r="Q7" s="3512"/>
      <c r="R7" s="627" t="s">
        <v>25</v>
      </c>
      <c r="S7" s="628">
        <f t="shared" ref="S7:S14" si="0">F7</f>
        <v>0</v>
      </c>
      <c r="T7" s="627" t="s">
        <v>25</v>
      </c>
      <c r="U7" s="628">
        <f t="shared" ref="U7:U14" si="1">H7</f>
        <v>0</v>
      </c>
      <c r="V7" s="627" t="s">
        <v>25</v>
      </c>
      <c r="W7" s="628">
        <f t="shared" ref="W7:W14" si="2">J7</f>
        <v>0</v>
      </c>
      <c r="X7" s="629"/>
      <c r="Y7" s="3488" t="s">
        <v>2267</v>
      </c>
      <c r="Z7" s="3489"/>
      <c r="AA7" s="630" t="e">
        <f>D7/F7</f>
        <v>#DIV/0!</v>
      </c>
      <c r="AB7" s="630" t="e">
        <f>D7/H7</f>
        <v>#DIV/0!</v>
      </c>
      <c r="AC7" s="630" t="e">
        <f>D7/J7</f>
        <v>#DIV/0!</v>
      </c>
    </row>
    <row r="8" spans="1:29" s="25" customFormat="1" ht="1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88" t="s">
        <v>2270</v>
      </c>
      <c r="Q8" s="3489"/>
      <c r="R8" s="627" t="s">
        <v>25</v>
      </c>
      <c r="S8" s="628">
        <f t="shared" si="0"/>
        <v>0</v>
      </c>
      <c r="T8" s="627" t="s">
        <v>25</v>
      </c>
      <c r="U8" s="628">
        <f t="shared" si="1"/>
        <v>0</v>
      </c>
      <c r="V8" s="627" t="s">
        <v>25</v>
      </c>
      <c r="W8" s="628">
        <f t="shared" si="2"/>
        <v>0</v>
      </c>
      <c r="X8" s="629"/>
      <c r="Y8" s="3488" t="s">
        <v>2270</v>
      </c>
      <c r="Z8" s="3489"/>
      <c r="AA8" s="630" t="e">
        <f t="shared" ref="AA8:AA36" si="3">D8/F8</f>
        <v>#DIV/0!</v>
      </c>
      <c r="AB8" s="630" t="e">
        <f t="shared" ref="AB8:AB36" si="4">D8/H8</f>
        <v>#DIV/0!</v>
      </c>
      <c r="AC8" s="630" t="e">
        <f t="shared" ref="AC8:AC36" si="5">D8/J8</f>
        <v>#DIV/0!</v>
      </c>
    </row>
    <row r="9" spans="1:29" s="25" customFormat="1" ht="14.4">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85" t="s">
        <v>2273</v>
      </c>
      <c r="Q9" s="1327" t="str">
        <f t="shared" ref="Q9:Q14" si="6">B9</f>
        <v>用途</v>
      </c>
      <c r="R9" s="627" t="s">
        <v>25</v>
      </c>
      <c r="S9" s="628">
        <f t="shared" si="0"/>
        <v>100</v>
      </c>
      <c r="T9" s="627" t="s">
        <v>25</v>
      </c>
      <c r="U9" s="628">
        <f t="shared" si="1"/>
        <v>100</v>
      </c>
      <c r="V9" s="627" t="s">
        <v>25</v>
      </c>
      <c r="W9" s="628">
        <f t="shared" si="2"/>
        <v>100</v>
      </c>
      <c r="X9" s="629"/>
      <c r="Y9" s="3515" t="s">
        <v>2274</v>
      </c>
      <c r="Z9" s="19" t="str">
        <f t="shared" ref="Z9:Z14" si="7">Q9</f>
        <v>用途</v>
      </c>
      <c r="AA9" s="630">
        <f t="shared" si="3"/>
        <v>1</v>
      </c>
      <c r="AB9" s="630">
        <f t="shared" si="4"/>
        <v>1</v>
      </c>
      <c r="AC9" s="630">
        <f t="shared" si="5"/>
        <v>1</v>
      </c>
    </row>
    <row r="10" spans="1:29" s="317" customFormat="1" ht="28.8">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85"/>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79.4">
      <c r="A14" s="294" t="s">
        <v>2277</v>
      </c>
      <c r="B14" s="511" t="s">
        <v>2414</v>
      </c>
      <c r="C14" s="1143" t="str">
        <f>IF(B1="工业",估价对象房地状况!G4,估价对象房地状况!C6)</f>
        <v>估价对象周边有专98路、33路、快速直达专线83、481路、507路、632路、85路、40路等多条公交线路，距地铁6号线（慈寿寺）约小于1公里，综合评价交通便捷度较好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13" t="s">
        <v>2278</v>
      </c>
      <c r="Q14" s="1334" t="str">
        <f t="shared" si="6"/>
        <v>交通便捷度</v>
      </c>
      <c r="R14" s="631" t="s">
        <v>25</v>
      </c>
      <c r="S14" s="632">
        <f t="shared" si="0"/>
        <v>100</v>
      </c>
      <c r="T14" s="631" t="s">
        <v>25</v>
      </c>
      <c r="U14" s="632">
        <f t="shared" si="1"/>
        <v>100</v>
      </c>
      <c r="V14" s="631" t="s">
        <v>25</v>
      </c>
      <c r="W14" s="632">
        <f t="shared" si="2"/>
        <v>100</v>
      </c>
      <c r="X14" s="1335"/>
      <c r="Y14" s="351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14"/>
      <c r="Q15" s="1334"/>
      <c r="R15" s="631"/>
      <c r="S15" s="632"/>
      <c r="T15" s="631"/>
      <c r="U15" s="632"/>
      <c r="V15" s="631"/>
      <c r="W15" s="632"/>
      <c r="X15" s="1335"/>
      <c r="Y15" s="3514"/>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14"/>
      <c r="Q17" s="1334"/>
      <c r="R17" s="631"/>
      <c r="S17" s="632"/>
      <c r="T17" s="631"/>
      <c r="U17" s="632"/>
      <c r="V17" s="631"/>
      <c r="W17" s="632"/>
      <c r="X17" s="1335"/>
      <c r="Y17" s="3514"/>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14"/>
      <c r="Q19" s="1334"/>
      <c r="R19" s="631"/>
      <c r="S19" s="632"/>
      <c r="T19" s="631"/>
      <c r="U19" s="632"/>
      <c r="V19" s="631"/>
      <c r="W19" s="632"/>
      <c r="X19" s="1335"/>
      <c r="Y19" s="3514"/>
      <c r="Z19" s="1336"/>
      <c r="AA19" s="1337">
        <v>1</v>
      </c>
      <c r="AB19" s="1337">
        <v>1</v>
      </c>
      <c r="AC19" s="1337">
        <v>1</v>
      </c>
    </row>
    <row r="20" spans="1:29" ht="110.4">
      <c r="A20" s="297"/>
      <c r="B20" s="513" t="s">
        <v>2415</v>
      </c>
      <c r="C20" s="1145" t="str">
        <f>IF(B1="工业",估价对象房地状况!G7,估价对象房地状况!C9)</f>
        <v>区域自然环境：玲珑公园、京密引水渠；人文环境：宝联体育公园等；综合评价环境状况较好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14"/>
      <c r="Q21" s="1334"/>
      <c r="R21" s="631"/>
      <c r="S21" s="632"/>
      <c r="T21" s="631"/>
      <c r="U21" s="632"/>
      <c r="V21" s="631"/>
      <c r="W21" s="632"/>
      <c r="X21" s="1335"/>
      <c r="Y21" s="3514"/>
      <c r="Z21" s="1336"/>
      <c r="AA21" s="1337">
        <v>1</v>
      </c>
      <c r="AB21" s="1337">
        <v>1</v>
      </c>
      <c r="AC21" s="1337">
        <v>1</v>
      </c>
    </row>
    <row r="22" spans="1:29" ht="15">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14"/>
      <c r="Q24" s="1334">
        <f t="shared" ref="Q24:Q36"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1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7"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17"/>
      <c r="Q27" s="633" t="str">
        <f t="shared" si="11"/>
        <v>项目停车位配比</v>
      </c>
      <c r="R27" s="634" t="s">
        <v>25</v>
      </c>
      <c r="S27" s="635">
        <f t="shared" si="12"/>
        <v>100</v>
      </c>
      <c r="T27" s="634" t="s">
        <v>25</v>
      </c>
      <c r="U27" s="635">
        <f t="shared" si="13"/>
        <v>100</v>
      </c>
      <c r="V27" s="634" t="s">
        <v>25</v>
      </c>
      <c r="W27" s="635">
        <f t="shared" si="14"/>
        <v>100</v>
      </c>
      <c r="X27" s="636"/>
      <c r="Y27" s="3517"/>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17"/>
      <c r="Q28" s="1334" t="str">
        <f t="shared" si="11"/>
        <v>公共部分装修</v>
      </c>
      <c r="R28" s="631" t="s">
        <v>25</v>
      </c>
      <c r="S28" s="632">
        <f t="shared" si="12"/>
        <v>100</v>
      </c>
      <c r="T28" s="631" t="s">
        <v>25</v>
      </c>
      <c r="U28" s="632">
        <f t="shared" si="13"/>
        <v>100</v>
      </c>
      <c r="V28" s="631" t="s">
        <v>25</v>
      </c>
      <c r="W28" s="632">
        <f t="shared" si="14"/>
        <v>100</v>
      </c>
      <c r="X28" s="1335"/>
      <c r="Y28" s="3517"/>
      <c r="Z28" s="1336" t="str">
        <f t="shared" si="15"/>
        <v>公共部分装修</v>
      </c>
      <c r="AA28" s="1337">
        <f t="shared" si="3"/>
        <v>1</v>
      </c>
      <c r="AB28" s="1337">
        <f t="shared" si="4"/>
        <v>1</v>
      </c>
      <c r="AC28" s="1337">
        <f t="shared" si="5"/>
        <v>1</v>
      </c>
    </row>
    <row r="29" spans="1:29" ht="15">
      <c r="A29" s="537"/>
      <c r="B29" s="535" t="s">
        <v>2420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17"/>
      <c r="Q29" s="1334" t="str">
        <f t="shared" si="11"/>
        <v>成新率</v>
      </c>
      <c r="R29" s="631" t="s">
        <v>25</v>
      </c>
      <c r="S29" s="632" t="e">
        <f t="shared" si="12"/>
        <v>#N/A</v>
      </c>
      <c r="T29" s="631" t="s">
        <v>25</v>
      </c>
      <c r="U29" s="632" t="e">
        <f t="shared" si="13"/>
        <v>#N/A</v>
      </c>
      <c r="V29" s="631" t="s">
        <v>25</v>
      </c>
      <c r="W29" s="632" t="e">
        <f t="shared" si="14"/>
        <v>#N/A</v>
      </c>
      <c r="X29" s="1335"/>
      <c r="Y29" s="3517"/>
      <c r="Z29" s="1336" t="str">
        <f t="shared" si="15"/>
        <v>成新率</v>
      </c>
      <c r="AA29" s="1337" t="e">
        <f t="shared" si="3"/>
        <v>#N/A</v>
      </c>
      <c r="AB29" s="1337" t="e">
        <f t="shared" si="4"/>
        <v>#N/A</v>
      </c>
      <c r="AC29" s="1337" t="e">
        <f t="shared" si="5"/>
        <v>#N/A</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17"/>
      <c r="Q30" s="1334" t="str">
        <f t="shared" si="11"/>
        <v>物业等级</v>
      </c>
      <c r="R30" s="631" t="s">
        <v>25</v>
      </c>
      <c r="S30" s="632">
        <f t="shared" si="12"/>
        <v>100</v>
      </c>
      <c r="T30" s="631" t="s">
        <v>25</v>
      </c>
      <c r="U30" s="632">
        <f t="shared" si="13"/>
        <v>100</v>
      </c>
      <c r="V30" s="631" t="s">
        <v>25</v>
      </c>
      <c r="W30" s="632">
        <f t="shared" si="14"/>
        <v>100</v>
      </c>
      <c r="X30" s="1335"/>
      <c r="Y30" s="3517"/>
      <c r="Z30" s="1336" t="str">
        <f t="shared" si="15"/>
        <v>物业等级</v>
      </c>
      <c r="AA30" s="1337">
        <f t="shared" si="3"/>
        <v>1</v>
      </c>
      <c r="AB30" s="1337">
        <f t="shared" si="4"/>
        <v>1</v>
      </c>
      <c r="AC30" s="1337">
        <f t="shared" si="5"/>
        <v>1</v>
      </c>
    </row>
    <row r="31" spans="1:29" s="25" customFormat="1" ht="15">
      <c r="A31" s="539"/>
      <c r="B31" s="535" t="s">
        <v>2422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17"/>
      <c r="Q31" s="1327" t="str">
        <f t="shared" si="11"/>
        <v>停车位面积</v>
      </c>
      <c r="R31" s="627" t="s">
        <v>25</v>
      </c>
      <c r="S31" s="628" t="e">
        <f t="shared" si="12"/>
        <v>#N/A</v>
      </c>
      <c r="T31" s="627" t="s">
        <v>25</v>
      </c>
      <c r="U31" s="628" t="e">
        <f t="shared" si="13"/>
        <v>#N/A</v>
      </c>
      <c r="V31" s="627" t="s">
        <v>25</v>
      </c>
      <c r="W31" s="628" t="e">
        <f t="shared" si="14"/>
        <v>#N/A</v>
      </c>
      <c r="X31" s="629"/>
      <c r="Y31" s="3517"/>
      <c r="Z31" s="19" t="str">
        <f t="shared" si="15"/>
        <v>停车位面积</v>
      </c>
      <c r="AA31" s="630" t="e">
        <f t="shared" si="3"/>
        <v>#N/A</v>
      </c>
      <c r="AB31" s="630" t="e">
        <f t="shared" si="4"/>
        <v>#N/A</v>
      </c>
      <c r="AC31" s="630" t="e">
        <f t="shared" si="5"/>
        <v>#N/A</v>
      </c>
    </row>
    <row r="32" spans="1:29" ht="15">
      <c r="A32" s="537"/>
      <c r="B32" s="535" t="s">
        <v>2423</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17" t="s">
        <v>2284</v>
      </c>
      <c r="Q32" s="1334" t="str">
        <f t="shared" si="11"/>
        <v>车位类型</v>
      </c>
      <c r="R32" s="631" t="s">
        <v>25</v>
      </c>
      <c r="S32" s="632">
        <f t="shared" si="12"/>
        <v>100</v>
      </c>
      <c r="T32" s="631" t="s">
        <v>25</v>
      </c>
      <c r="U32" s="632">
        <f t="shared" si="13"/>
        <v>100</v>
      </c>
      <c r="V32" s="631" t="s">
        <v>25</v>
      </c>
      <c r="W32" s="632">
        <f t="shared" si="14"/>
        <v>100</v>
      </c>
      <c r="X32" s="1335"/>
      <c r="Y32" s="3517" t="s">
        <v>2284</v>
      </c>
      <c r="Z32" s="1336" t="str">
        <f t="shared" si="15"/>
        <v>车位类型</v>
      </c>
      <c r="AA32" s="1337">
        <f t="shared" si="3"/>
        <v>1</v>
      </c>
      <c r="AB32" s="1337">
        <f t="shared" si="4"/>
        <v>1</v>
      </c>
      <c r="AC32" s="1337">
        <f t="shared" si="5"/>
        <v>1</v>
      </c>
    </row>
    <row r="33" spans="1:29" ht="15">
      <c r="A33" s="537"/>
      <c r="B33" s="535" t="s">
        <v>2424</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17"/>
      <c r="Q33" s="1334" t="str">
        <f t="shared" si="11"/>
        <v>是否直接入户</v>
      </c>
      <c r="R33" s="631" t="s">
        <v>25</v>
      </c>
      <c r="S33" s="632">
        <f t="shared" si="12"/>
        <v>100</v>
      </c>
      <c r="T33" s="631" t="s">
        <v>25</v>
      </c>
      <c r="U33" s="632">
        <f t="shared" si="13"/>
        <v>100</v>
      </c>
      <c r="V33" s="631" t="s">
        <v>25</v>
      </c>
      <c r="W33" s="632">
        <f t="shared" si="14"/>
        <v>100</v>
      </c>
      <c r="X33" s="1335"/>
      <c r="Y33" s="351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17"/>
      <c r="Q35" s="633">
        <f t="shared" si="11"/>
        <v>111</v>
      </c>
      <c r="R35" s="634" t="s">
        <v>25</v>
      </c>
      <c r="S35" s="635">
        <f t="shared" si="12"/>
        <v>100</v>
      </c>
      <c r="T35" s="634" t="s">
        <v>25</v>
      </c>
      <c r="U35" s="635">
        <f t="shared" si="13"/>
        <v>100</v>
      </c>
      <c r="V35" s="634" t="s">
        <v>25</v>
      </c>
      <c r="W35" s="635">
        <f t="shared" si="14"/>
        <v>100</v>
      </c>
      <c r="X35" s="636"/>
      <c r="Y35" s="3517"/>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17"/>
      <c r="Q36" s="1334">
        <f t="shared" si="11"/>
        <v>111</v>
      </c>
      <c r="R36" s="631" t="s">
        <v>25</v>
      </c>
      <c r="S36" s="632">
        <f t="shared" si="12"/>
        <v>100</v>
      </c>
      <c r="T36" s="631" t="s">
        <v>25</v>
      </c>
      <c r="U36" s="632">
        <f t="shared" si="13"/>
        <v>100</v>
      </c>
      <c r="V36" s="631" t="s">
        <v>25</v>
      </c>
      <c r="W36" s="632">
        <f t="shared" si="14"/>
        <v>100</v>
      </c>
      <c r="X36" s="1335"/>
      <c r="Y36" s="3517"/>
      <c r="Z36" s="1336">
        <f t="shared" si="15"/>
        <v>111</v>
      </c>
      <c r="AA36" s="1337">
        <f t="shared" si="3"/>
        <v>1</v>
      </c>
      <c r="AB36" s="1337">
        <f t="shared" si="4"/>
        <v>1</v>
      </c>
      <c r="AC36" s="1337">
        <f t="shared" si="5"/>
        <v>1</v>
      </c>
    </row>
    <row r="37" spans="1:29" ht="14.4">
      <c r="A37" s="367" t="s">
        <v>2425</v>
      </c>
      <c r="B37" s="840" t="s">
        <v>2426</v>
      </c>
      <c r="C37" s="1153" t="s">
        <v>1</v>
      </c>
      <c r="D37" s="1154"/>
      <c r="E37" s="1155"/>
      <c r="F37" s="1156"/>
      <c r="G37" s="1157"/>
      <c r="H37" s="1158"/>
      <c r="I37" s="1155"/>
      <c r="J37" s="1158"/>
      <c r="K37" s="503"/>
      <c r="L37" s="3039"/>
      <c r="N37" s="3028"/>
      <c r="P37" s="3485" t="str">
        <f>A37</f>
        <v>成交单价</v>
      </c>
      <c r="Q37" s="3485"/>
      <c r="R37" s="3519">
        <f>E37</f>
        <v>0</v>
      </c>
      <c r="S37" s="3519"/>
      <c r="T37" s="3519">
        <f>G37</f>
        <v>0</v>
      </c>
      <c r="U37" s="3519"/>
      <c r="V37" s="3519">
        <f>I37</f>
        <v>0</v>
      </c>
      <c r="W37" s="3519"/>
      <c r="X37" s="618"/>
      <c r="Y37" s="638"/>
      <c r="Z37" s="618"/>
      <c r="AA37" s="618"/>
      <c r="AB37" s="618"/>
      <c r="AC37" s="618"/>
    </row>
    <row r="38" spans="1:29" ht="15" thickBot="1">
      <c r="A38" s="374" t="s">
        <v>2427</v>
      </c>
      <c r="B38" s="375" t="str">
        <f>B37</f>
        <v>元/平方米</v>
      </c>
      <c r="C38" s="1159" t="e">
        <f>R39</f>
        <v>#DIV/0!</v>
      </c>
      <c r="D38" s="1796" t="s">
        <v>2753</v>
      </c>
      <c r="E38" s="1160" t="e">
        <f>R38</f>
        <v>#DIV/0!</v>
      </c>
      <c r="F38" s="1798"/>
      <c r="G38" s="1159" t="e">
        <f>T38</f>
        <v>#DIV/0!</v>
      </c>
      <c r="H38" s="1798"/>
      <c r="I38" s="1160" t="e">
        <f>V38</f>
        <v>#DIV/0!</v>
      </c>
      <c r="J38" s="1798"/>
      <c r="K38" s="2513">
        <f>F38+H38+J38</f>
        <v>0</v>
      </c>
      <c r="L38" s="3039"/>
      <c r="P38" s="3485" t="str">
        <f>A38</f>
        <v>比较价值</v>
      </c>
      <c r="Q38" s="3485"/>
      <c r="R38" s="3519" t="e">
        <f>IF(E1="售价",ROUND(PRODUCT(R37,AA7:AA36),0),ROUND(PRODUCT(R37,AA7:AA36),1))</f>
        <v>#DIV/0!</v>
      </c>
      <c r="S38" s="3519"/>
      <c r="T38" s="3519" t="e">
        <f>IF(E1="售价",ROUND(PRODUCT(T37,AB7:AB36),0),ROUND(PRODUCT(T37,AB7:AB36),1))</f>
        <v>#DIV/0!</v>
      </c>
      <c r="U38" s="3519"/>
      <c r="V38" s="3519" t="e">
        <f>IF(E1="售价",ROUND(PRODUCT(V37,AC7:AC36),0),ROUND(PRODUCT(V37,AC7:AC36),1))</f>
        <v>#DIV/0!</v>
      </c>
      <c r="W38" s="3519"/>
      <c r="X38" s="618"/>
      <c r="Y38" s="618"/>
      <c r="Z38" s="618"/>
      <c r="AA38" s="618"/>
      <c r="AB38" s="618"/>
      <c r="AC38" s="618"/>
    </row>
    <row r="39" spans="1:29" ht="15" thickBot="1">
      <c r="A39" s="378" t="s">
        <v>2428</v>
      </c>
      <c r="B39" s="379"/>
      <c r="C39" s="1161" t="e">
        <f>R39</f>
        <v>#DIV/0!</v>
      </c>
      <c r="D39" s="1161"/>
      <c r="E39" s="1161"/>
      <c r="F39" s="1161"/>
      <c r="G39" s="1161"/>
      <c r="H39" s="1161"/>
      <c r="I39" s="1161"/>
      <c r="J39" s="1161"/>
      <c r="K39" s="504"/>
      <c r="L39" s="3039"/>
      <c r="P39" s="3520" t="str">
        <f>A39</f>
        <v>估价对象XX用房的比较价值（楼面单价，元/平方米）</v>
      </c>
      <c r="Q39" s="3521"/>
      <c r="R39" s="3522" t="e">
        <f>IF(E1="售价",ROUND(IF(D38="简单平均",AVERAGE(R38:W38),R38*F38+T38*H38+V38*J38),0),ROUND(IF(D38="简单平均",AVERAGE(R38:V38),R38*F38+T38*H38+V38*J38),1))</f>
        <v>#DIV/0!</v>
      </c>
      <c r="S39" s="3522"/>
      <c r="T39" s="3522"/>
      <c r="U39" s="3522"/>
      <c r="V39" s="3522"/>
      <c r="W39" s="3522"/>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2024-8</v>
      </c>
      <c r="D48" s="1188">
        <f>EDATE(C48,-1)</f>
        <v>45474</v>
      </c>
      <c r="E48" s="1188">
        <f t="shared" ref="E48:O48" si="16">EDATE(D48,-1)</f>
        <v>45444</v>
      </c>
      <c r="F48" s="1188">
        <f t="shared" si="16"/>
        <v>45413</v>
      </c>
      <c r="G48" s="1188">
        <f t="shared" si="16"/>
        <v>45383</v>
      </c>
      <c r="H48" s="1188">
        <f t="shared" si="16"/>
        <v>45352</v>
      </c>
      <c r="I48" s="1188">
        <f t="shared" si="16"/>
        <v>45323</v>
      </c>
      <c r="J48" s="1188">
        <f t="shared" si="16"/>
        <v>45292</v>
      </c>
      <c r="K48" s="1188">
        <f t="shared" si="16"/>
        <v>45261</v>
      </c>
      <c r="L48" s="1188">
        <f t="shared" si="16"/>
        <v>45231</v>
      </c>
      <c r="M48" s="1188">
        <f t="shared" si="16"/>
        <v>45200</v>
      </c>
      <c r="N48" s="1188">
        <f t="shared" si="16"/>
        <v>45170</v>
      </c>
      <c r="O48" s="1188">
        <f t="shared" si="16"/>
        <v>45139</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2440</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2441</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2024年8月9日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本次估价的“房地产价值”是指在正常市场情况下，在价值时点2024年8月9日，估价对象规划用途为，假定未设立法定优先受偿款下的房地产市场价值。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503" t="s">
        <v>2255</v>
      </c>
      <c r="S4" s="3504"/>
      <c r="T4" s="3503" t="s">
        <v>2256</v>
      </c>
      <c r="U4" s="3504"/>
      <c r="V4" s="3509" t="s">
        <v>2257</v>
      </c>
      <c r="W4" s="3509"/>
      <c r="X4" s="1335"/>
      <c r="Y4" s="3503" t="s">
        <v>2259</v>
      </c>
      <c r="Z4" s="3504"/>
      <c r="AA4" s="3490" t="s">
        <v>2255</v>
      </c>
      <c r="AB4" s="3491" t="s">
        <v>2256</v>
      </c>
      <c r="AC4" s="3490" t="s">
        <v>2257</v>
      </c>
    </row>
    <row r="5" spans="1:29">
      <c r="A5" s="297"/>
      <c r="B5" s="298"/>
      <c r="C5" s="3486" t="s">
        <v>2260</v>
      </c>
      <c r="D5" s="3487"/>
      <c r="E5" s="3510" t="s">
        <v>2261</v>
      </c>
      <c r="F5" s="3511"/>
      <c r="G5" s="3486" t="s">
        <v>2262</v>
      </c>
      <c r="H5" s="3487"/>
      <c r="I5" s="3486" t="s">
        <v>2263</v>
      </c>
      <c r="J5" s="3487"/>
      <c r="K5" s="496"/>
      <c r="L5" s="3027"/>
      <c r="M5" s="3028"/>
      <c r="N5" s="3028"/>
      <c r="O5" s="3028"/>
      <c r="P5" s="3499"/>
      <c r="Q5" s="3500"/>
      <c r="R5" s="3505"/>
      <c r="S5" s="3506"/>
      <c r="T5" s="3505"/>
      <c r="U5" s="3506"/>
      <c r="V5" s="3509"/>
      <c r="W5" s="3509"/>
      <c r="X5" s="1335"/>
      <c r="Y5" s="3505"/>
      <c r="Z5" s="3506"/>
      <c r="AA5" s="3491"/>
      <c r="AB5" s="3491"/>
      <c r="AC5" s="3491"/>
    </row>
    <row r="6" spans="1:29" ht="15" thickBot="1">
      <c r="A6" s="299"/>
      <c r="B6" s="300"/>
      <c r="C6" s="3483" t="s">
        <v>2264</v>
      </c>
      <c r="D6" s="3484"/>
      <c r="E6" s="3481" t="s">
        <v>2264</v>
      </c>
      <c r="F6" s="3482"/>
      <c r="G6" s="3483" t="s">
        <v>2264</v>
      </c>
      <c r="H6" s="3484"/>
      <c r="I6" s="3483" t="s">
        <v>2264</v>
      </c>
      <c r="J6" s="3484"/>
      <c r="K6" s="496" t="s">
        <v>2265</v>
      </c>
      <c r="L6" s="3027"/>
      <c r="M6" s="3028"/>
      <c r="N6" s="3028"/>
      <c r="O6" s="3028"/>
      <c r="P6" s="3501"/>
      <c r="Q6" s="3502"/>
      <c r="R6" s="3505"/>
      <c r="S6" s="3506"/>
      <c r="T6" s="3507"/>
      <c r="U6" s="3508"/>
      <c r="V6" s="3509"/>
      <c r="W6" s="3509"/>
      <c r="X6" s="1335"/>
      <c r="Y6" s="3507"/>
      <c r="Z6" s="3508"/>
      <c r="AA6" s="3492"/>
      <c r="AB6" s="3492"/>
      <c r="AC6" s="3492"/>
    </row>
    <row r="7" spans="1:29" s="25" customFormat="1" ht="15" thickBot="1">
      <c r="A7" s="301" t="s">
        <v>2266</v>
      </c>
      <c r="B7" s="302"/>
      <c r="C7" s="303">
        <f>'数据-取费表'!B2</f>
        <v>45513</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88" t="s">
        <v>2267</v>
      </c>
      <c r="Q7" s="3512"/>
      <c r="R7" s="627" t="s">
        <v>25</v>
      </c>
      <c r="S7" s="628">
        <f t="shared" ref="S7:S14" si="0">F7</f>
        <v>0</v>
      </c>
      <c r="T7" s="627" t="s">
        <v>25</v>
      </c>
      <c r="U7" s="628">
        <f t="shared" ref="U7:U14" si="1">H7</f>
        <v>0</v>
      </c>
      <c r="V7" s="627" t="s">
        <v>25</v>
      </c>
      <c r="W7" s="628">
        <f t="shared" ref="W7:W14" si="2">J7</f>
        <v>0</v>
      </c>
      <c r="X7" s="629"/>
      <c r="Y7" s="3488" t="s">
        <v>2267</v>
      </c>
      <c r="Z7" s="3489"/>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88" t="s">
        <v>2270</v>
      </c>
      <c r="Q8" s="3489"/>
      <c r="R8" s="627" t="s">
        <v>25</v>
      </c>
      <c r="S8" s="628">
        <f t="shared" si="0"/>
        <v>0</v>
      </c>
      <c r="T8" s="627" t="s">
        <v>25</v>
      </c>
      <c r="U8" s="628">
        <f t="shared" si="1"/>
        <v>0</v>
      </c>
      <c r="V8" s="627" t="s">
        <v>25</v>
      </c>
      <c r="W8" s="628">
        <f t="shared" si="2"/>
        <v>0</v>
      </c>
      <c r="X8" s="629"/>
      <c r="Y8" s="3488" t="s">
        <v>2270</v>
      </c>
      <c r="Z8" s="3489"/>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85" t="s">
        <v>2273</v>
      </c>
      <c r="Q9" s="1327" t="str">
        <f t="shared" ref="Q9:Q14" si="6">B9</f>
        <v>用途</v>
      </c>
      <c r="R9" s="627" t="s">
        <v>25</v>
      </c>
      <c r="S9" s="628">
        <f t="shared" si="0"/>
        <v>100</v>
      </c>
      <c r="T9" s="627" t="s">
        <v>25</v>
      </c>
      <c r="U9" s="628">
        <f t="shared" si="1"/>
        <v>100</v>
      </c>
      <c r="V9" s="627" t="s">
        <v>25</v>
      </c>
      <c r="W9" s="628">
        <f t="shared" si="2"/>
        <v>100</v>
      </c>
      <c r="X9" s="629"/>
      <c r="Y9" s="3515"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85"/>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79.4">
      <c r="A14" s="329" t="s">
        <v>2277</v>
      </c>
      <c r="B14" s="22" t="s">
        <v>2414</v>
      </c>
      <c r="C14" s="1581" t="str">
        <f>IF(B1="工业",估价对象房地状况!G4,估价对象房地状况!C6)</f>
        <v>估价对象周边有专98路、33路、快速直达专线83、481路、507路、632路、85路、40路等多条公交线路，距地铁6号线（慈寿寺）约小于1公里，综合评价交通便捷度较好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13" t="s">
        <v>2278</v>
      </c>
      <c r="Q14" s="1334" t="str">
        <f t="shared" si="6"/>
        <v>交通便捷度</v>
      </c>
      <c r="R14" s="631" t="s">
        <v>25</v>
      </c>
      <c r="S14" s="632">
        <f t="shared" si="0"/>
        <v>100</v>
      </c>
      <c r="T14" s="631" t="s">
        <v>25</v>
      </c>
      <c r="U14" s="632">
        <f t="shared" si="1"/>
        <v>100</v>
      </c>
      <c r="V14" s="631" t="s">
        <v>25</v>
      </c>
      <c r="W14" s="632">
        <f t="shared" si="2"/>
        <v>100</v>
      </c>
      <c r="X14" s="1335"/>
      <c r="Y14" s="351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14"/>
      <c r="Q15" s="1334"/>
      <c r="R15" s="631"/>
      <c r="S15" s="632"/>
      <c r="T15" s="631"/>
      <c r="U15" s="632"/>
      <c r="V15" s="631"/>
      <c r="W15" s="632"/>
      <c r="X15" s="1335"/>
      <c r="Y15" s="3514"/>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14"/>
      <c r="Q17" s="1334"/>
      <c r="R17" s="631"/>
      <c r="S17" s="632"/>
      <c r="T17" s="631"/>
      <c r="U17" s="632"/>
      <c r="V17" s="631"/>
      <c r="W17" s="632"/>
      <c r="X17" s="1335"/>
      <c r="Y17" s="3514"/>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14"/>
      <c r="Q19" s="1334"/>
      <c r="R19" s="631"/>
      <c r="S19" s="632"/>
      <c r="T19" s="631"/>
      <c r="U19" s="632"/>
      <c r="V19" s="631"/>
      <c r="W19" s="632"/>
      <c r="X19" s="1335"/>
      <c r="Y19" s="3514"/>
      <c r="Z19" s="1336"/>
      <c r="AA19" s="1337">
        <v>1</v>
      </c>
      <c r="AB19" s="1337">
        <v>1</v>
      </c>
      <c r="AC19" s="1337">
        <v>1</v>
      </c>
    </row>
    <row r="20" spans="1:29" ht="110.4">
      <c r="A20" s="318"/>
      <c r="B20" s="340" t="s">
        <v>2415</v>
      </c>
      <c r="C20" s="1567" t="str">
        <f>IF(B1="工业",估价对象房地状况!G7,估价对象房地状况!C9)</f>
        <v>区域自然环境：玲珑公园、京密引水渠；人文环境：宝联体育公园等；综合评价环境状况较好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14"/>
      <c r="Q21" s="1334"/>
      <c r="R21" s="631"/>
      <c r="S21" s="632"/>
      <c r="T21" s="631"/>
      <c r="U21" s="632"/>
      <c r="V21" s="631"/>
      <c r="W21" s="632"/>
      <c r="X21" s="1335"/>
      <c r="Y21" s="3514"/>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14"/>
      <c r="Q24" s="1334">
        <f t="shared" ref="Q24:Q34"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1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7"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17"/>
      <c r="Q27" s="633" t="str">
        <f t="shared" si="11"/>
        <v>成新率</v>
      </c>
      <c r="R27" s="634" t="s">
        <v>25</v>
      </c>
      <c r="S27" s="635" t="e">
        <f t="shared" si="12"/>
        <v>#N/A</v>
      </c>
      <c r="T27" s="634" t="s">
        <v>25</v>
      </c>
      <c r="U27" s="635" t="e">
        <f t="shared" si="13"/>
        <v>#N/A</v>
      </c>
      <c r="V27" s="634" t="s">
        <v>25</v>
      </c>
      <c r="W27" s="635" t="e">
        <f t="shared" si="14"/>
        <v>#N/A</v>
      </c>
      <c r="X27" s="636"/>
      <c r="Y27" s="3517"/>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17"/>
      <c r="Q28" s="1334" t="str">
        <f t="shared" si="11"/>
        <v>物业等级</v>
      </c>
      <c r="R28" s="631" t="s">
        <v>25</v>
      </c>
      <c r="S28" s="632">
        <f t="shared" si="12"/>
        <v>100</v>
      </c>
      <c r="T28" s="631" t="s">
        <v>25</v>
      </c>
      <c r="U28" s="632">
        <f t="shared" si="13"/>
        <v>100</v>
      </c>
      <c r="V28" s="631" t="s">
        <v>25</v>
      </c>
      <c r="W28" s="632">
        <f t="shared" si="14"/>
        <v>100</v>
      </c>
      <c r="X28" s="1335"/>
      <c r="Y28" s="3517"/>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17"/>
      <c r="Q29" s="1334" t="str">
        <f t="shared" si="11"/>
        <v>有无电梯</v>
      </c>
      <c r="R29" s="631" t="s">
        <v>25</v>
      </c>
      <c r="S29" s="632">
        <f t="shared" si="12"/>
        <v>100</v>
      </c>
      <c r="T29" s="631" t="s">
        <v>25</v>
      </c>
      <c r="U29" s="632">
        <f t="shared" si="13"/>
        <v>100</v>
      </c>
      <c r="V29" s="631" t="s">
        <v>25</v>
      </c>
      <c r="W29" s="632">
        <f t="shared" si="14"/>
        <v>100</v>
      </c>
      <c r="X29" s="1335"/>
      <c r="Y29" s="3517"/>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17"/>
      <c r="Q30" s="1334" t="str">
        <f t="shared" si="11"/>
        <v>建筑面积</v>
      </c>
      <c r="R30" s="631" t="s">
        <v>25</v>
      </c>
      <c r="S30" s="632" t="e">
        <f t="shared" si="12"/>
        <v>#N/A</v>
      </c>
      <c r="T30" s="631" t="s">
        <v>25</v>
      </c>
      <c r="U30" s="632" t="e">
        <f t="shared" si="13"/>
        <v>#N/A</v>
      </c>
      <c r="V30" s="631" t="s">
        <v>25</v>
      </c>
      <c r="W30" s="632" t="e">
        <f t="shared" si="14"/>
        <v>#N/A</v>
      </c>
      <c r="X30" s="1335"/>
      <c r="Y30" s="3517"/>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17"/>
      <c r="Q31" s="1327" t="str">
        <f t="shared" si="11"/>
        <v>是否封闭</v>
      </c>
      <c r="R31" s="627" t="s">
        <v>25</v>
      </c>
      <c r="S31" s="628">
        <f t="shared" si="12"/>
        <v>100</v>
      </c>
      <c r="T31" s="627" t="s">
        <v>25</v>
      </c>
      <c r="U31" s="628">
        <f t="shared" si="13"/>
        <v>100</v>
      </c>
      <c r="V31" s="627" t="s">
        <v>25</v>
      </c>
      <c r="W31" s="628">
        <f t="shared" si="14"/>
        <v>100</v>
      </c>
      <c r="X31" s="629"/>
      <c r="Y31" s="351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17" t="s">
        <v>2284</v>
      </c>
      <c r="Q32" s="1334">
        <f t="shared" si="11"/>
        <v>111</v>
      </c>
      <c r="R32" s="631" t="s">
        <v>25</v>
      </c>
      <c r="S32" s="632">
        <f t="shared" si="12"/>
        <v>100</v>
      </c>
      <c r="T32" s="631" t="s">
        <v>25</v>
      </c>
      <c r="U32" s="632">
        <f t="shared" si="13"/>
        <v>100</v>
      </c>
      <c r="V32" s="631" t="s">
        <v>25</v>
      </c>
      <c r="W32" s="632">
        <f t="shared" si="14"/>
        <v>100</v>
      </c>
      <c r="X32" s="1335"/>
      <c r="Y32" s="351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17"/>
      <c r="Q33" s="1334">
        <f t="shared" si="11"/>
        <v>111</v>
      </c>
      <c r="R33" s="631" t="s">
        <v>25</v>
      </c>
      <c r="S33" s="632">
        <f t="shared" si="12"/>
        <v>100</v>
      </c>
      <c r="T33" s="631" t="s">
        <v>25</v>
      </c>
      <c r="U33" s="632">
        <f t="shared" si="13"/>
        <v>100</v>
      </c>
      <c r="V33" s="631" t="s">
        <v>25</v>
      </c>
      <c r="W33" s="632">
        <f t="shared" si="14"/>
        <v>100</v>
      </c>
      <c r="X33" s="1335"/>
      <c r="Y33" s="3517"/>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485" t="str">
        <f>A35</f>
        <v>成交单价（元/平方米）</v>
      </c>
      <c r="Q35" s="3485"/>
      <c r="R35" s="3519">
        <f>E35</f>
        <v>0</v>
      </c>
      <c r="S35" s="3519"/>
      <c r="T35" s="3519">
        <f>G35</f>
        <v>0</v>
      </c>
      <c r="U35" s="3519"/>
      <c r="V35" s="3519">
        <f>I35</f>
        <v>0</v>
      </c>
      <c r="W35" s="3519"/>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485" t="str">
        <f>A36</f>
        <v>比较价值（元/平方米）</v>
      </c>
      <c r="Q36" s="3485"/>
      <c r="R36" s="3519" t="e">
        <f>IF(E1="售价",ROUND(PRODUCT(R35,AA7:AA34),0),ROUND(PRODUCT(R35,AA7:AA34),1))</f>
        <v>#DIV/0!</v>
      </c>
      <c r="S36" s="3519"/>
      <c r="T36" s="3519" t="e">
        <f>IF(E1="售价",ROUND(PRODUCT(T35,AB7:AB34),0),ROUND(PRODUCT(T35,AB7:AB34),1))</f>
        <v>#DIV/0!</v>
      </c>
      <c r="U36" s="3519"/>
      <c r="V36" s="3519" t="e">
        <f>IF(E1="售价",ROUND(PRODUCT(V35,AC7:AC34),0),ROUND(PRODUCT(V35,AC7:AC34),1))</f>
        <v>#DIV/0!</v>
      </c>
      <c r="W36" s="3519"/>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20" t="str">
        <f>A37</f>
        <v>估价对象XX用房的比较价值（楼面单价，元/平方米）</v>
      </c>
      <c r="Q37" s="3521"/>
      <c r="R37" s="3522" t="e">
        <f>IF(E1="售价",ROUND(IF(D36="简单平均",AVERAGE(R36:W36),R36*F36+T36*H36+V36*J36),0),ROUND(IF(D36="简单平均",AVERAGE(R36:V36),R36*F36+T36*H36+V36*J36),1))</f>
        <v>#DIV/0!</v>
      </c>
      <c r="S37" s="3522"/>
      <c r="T37" s="3522"/>
      <c r="U37" s="3522"/>
      <c r="V37" s="3522"/>
      <c r="W37" s="3522"/>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2024-8</v>
      </c>
      <c r="D46" s="1188">
        <f>EDATE(C46,-1)</f>
        <v>45474</v>
      </c>
      <c r="E46" s="1188">
        <f t="shared" ref="E46:O46" si="16">EDATE(D46,-1)</f>
        <v>45444</v>
      </c>
      <c r="F46" s="1188">
        <f t="shared" si="16"/>
        <v>45413</v>
      </c>
      <c r="G46" s="1188">
        <f t="shared" si="16"/>
        <v>45383</v>
      </c>
      <c r="H46" s="1188">
        <f t="shared" si="16"/>
        <v>45352</v>
      </c>
      <c r="I46" s="1188">
        <f t="shared" si="16"/>
        <v>45323</v>
      </c>
      <c r="J46" s="1188">
        <f t="shared" si="16"/>
        <v>45292</v>
      </c>
      <c r="K46" s="1188">
        <f t="shared" si="16"/>
        <v>45261</v>
      </c>
      <c r="L46" s="1188">
        <f t="shared" si="16"/>
        <v>45231</v>
      </c>
      <c r="M46" s="1188">
        <f t="shared" si="16"/>
        <v>45200</v>
      </c>
      <c r="N46" s="1188">
        <f t="shared" si="16"/>
        <v>45170</v>
      </c>
      <c r="O46" s="1188">
        <f t="shared" si="16"/>
        <v>45139</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431" t="s">
        <v>2254</v>
      </c>
      <c r="D4" s="3432"/>
      <c r="E4" s="3433" t="s">
        <v>2255</v>
      </c>
      <c r="F4" s="3434"/>
      <c r="G4" s="3431" t="s">
        <v>2256</v>
      </c>
      <c r="H4" s="3432"/>
      <c r="I4" s="3431" t="s">
        <v>2257</v>
      </c>
      <c r="J4" s="3432"/>
      <c r="K4" s="1965" t="s">
        <v>2258</v>
      </c>
      <c r="L4" s="2999"/>
      <c r="M4" s="3000"/>
      <c r="N4" s="3000"/>
      <c r="O4" s="3000"/>
      <c r="P4" s="3435" t="s">
        <v>2259</v>
      </c>
      <c r="Q4" s="3436"/>
      <c r="R4" s="3441" t="s">
        <v>2255</v>
      </c>
      <c r="S4" s="3442"/>
      <c r="T4" s="3441" t="s">
        <v>2256</v>
      </c>
      <c r="U4" s="3442"/>
      <c r="V4" s="3447" t="s">
        <v>2257</v>
      </c>
      <c r="W4" s="3447"/>
      <c r="X4" s="1666"/>
      <c r="Y4" s="3441" t="s">
        <v>2259</v>
      </c>
      <c r="Z4" s="3442"/>
      <c r="AA4" s="3428" t="s">
        <v>2255</v>
      </c>
      <c r="AB4" s="3429" t="s">
        <v>2256</v>
      </c>
      <c r="AC4" s="3428" t="s">
        <v>2257</v>
      </c>
    </row>
    <row r="5" spans="1:30">
      <c r="A5" s="1668"/>
      <c r="B5" s="1669"/>
      <c r="C5" s="3478" t="s">
        <v>2260</v>
      </c>
      <c r="D5" s="3451"/>
      <c r="E5" s="3479" t="s">
        <v>2261</v>
      </c>
      <c r="F5" s="3449"/>
      <c r="G5" s="3478" t="s">
        <v>2262</v>
      </c>
      <c r="H5" s="3451"/>
      <c r="I5" s="3478" t="s">
        <v>2263</v>
      </c>
      <c r="J5" s="3451"/>
      <c r="K5" s="1965"/>
      <c r="L5" s="2999"/>
      <c r="M5" s="3000"/>
      <c r="N5" s="3000"/>
      <c r="O5" s="3000"/>
      <c r="P5" s="3437"/>
      <c r="Q5" s="3438"/>
      <c r="R5" s="3443"/>
      <c r="S5" s="3444"/>
      <c r="T5" s="3443"/>
      <c r="U5" s="3444"/>
      <c r="V5" s="3447"/>
      <c r="W5" s="3447"/>
      <c r="X5" s="1666"/>
      <c r="Y5" s="3443"/>
      <c r="Z5" s="3444"/>
      <c r="AA5" s="3429"/>
      <c r="AB5" s="3429"/>
      <c r="AC5" s="3429"/>
    </row>
    <row r="6" spans="1:30" ht="15" thickBot="1">
      <c r="A6" s="1671"/>
      <c r="B6" s="1672"/>
      <c r="C6" s="3463" t="s">
        <v>2264</v>
      </c>
      <c r="D6" s="3453"/>
      <c r="E6" s="3454" t="s">
        <v>2264</v>
      </c>
      <c r="F6" s="3455"/>
      <c r="G6" s="3463" t="s">
        <v>2264</v>
      </c>
      <c r="H6" s="3453"/>
      <c r="I6" s="3463" t="s">
        <v>2264</v>
      </c>
      <c r="J6" s="3453"/>
      <c r="K6" s="1965" t="s">
        <v>2265</v>
      </c>
      <c r="L6" s="2999"/>
      <c r="M6" s="3000"/>
      <c r="N6" s="3000"/>
      <c r="O6" s="3000"/>
      <c r="P6" s="3439"/>
      <c r="Q6" s="3440"/>
      <c r="R6" s="3443"/>
      <c r="S6" s="3444"/>
      <c r="T6" s="3445"/>
      <c r="U6" s="3446"/>
      <c r="V6" s="3447"/>
      <c r="W6" s="3447"/>
      <c r="X6" s="1666"/>
      <c r="Y6" s="3445"/>
      <c r="Z6" s="3446"/>
      <c r="AA6" s="3430"/>
      <c r="AB6" s="3430"/>
      <c r="AC6" s="3430"/>
    </row>
    <row r="7" spans="1:30" s="1685" customFormat="1" ht="15" thickBot="1">
      <c r="A7" s="1673" t="s">
        <v>2266</v>
      </c>
      <c r="B7" s="1674"/>
      <c r="C7" s="1675">
        <f>'数据-取费表'!B2</f>
        <v>45513</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64" t="s">
        <v>2267</v>
      </c>
      <c r="Q7" s="3466"/>
      <c r="R7" s="1681" t="s">
        <v>25</v>
      </c>
      <c r="S7" s="1682">
        <f t="shared" ref="S7:S15" si="0">F7</f>
        <v>0</v>
      </c>
      <c r="T7" s="1681" t="s">
        <v>25</v>
      </c>
      <c r="U7" s="1682">
        <f t="shared" ref="U7:U15" si="1">H7</f>
        <v>0</v>
      </c>
      <c r="V7" s="1681" t="s">
        <v>25</v>
      </c>
      <c r="W7" s="1682">
        <f t="shared" ref="W7:W15" si="2">J7</f>
        <v>0</v>
      </c>
      <c r="X7" s="1683"/>
      <c r="Y7" s="3464" t="s">
        <v>2267</v>
      </c>
      <c r="Z7" s="3465"/>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64" t="s">
        <v>2270</v>
      </c>
      <c r="Q8" s="3465"/>
      <c r="R8" s="1681" t="s">
        <v>25</v>
      </c>
      <c r="S8" s="1682">
        <f t="shared" si="0"/>
        <v>0</v>
      </c>
      <c r="T8" s="1681" t="s">
        <v>25</v>
      </c>
      <c r="U8" s="1682">
        <f t="shared" si="1"/>
        <v>0</v>
      </c>
      <c r="V8" s="1681" t="s">
        <v>25</v>
      </c>
      <c r="W8" s="1682">
        <f t="shared" si="2"/>
        <v>0</v>
      </c>
      <c r="X8" s="1683"/>
      <c r="Y8" s="3464" t="s">
        <v>2270</v>
      </c>
      <c r="Z8" s="3465"/>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68" t="s">
        <v>2273</v>
      </c>
      <c r="Q9" s="1635" t="str">
        <f t="shared" ref="Q9:Q15" si="6">B9</f>
        <v>用途</v>
      </c>
      <c r="R9" s="1681" t="s">
        <v>25</v>
      </c>
      <c r="S9" s="1682">
        <f t="shared" si="0"/>
        <v>100</v>
      </c>
      <c r="T9" s="1681" t="s">
        <v>25</v>
      </c>
      <c r="U9" s="1682">
        <f t="shared" si="1"/>
        <v>100</v>
      </c>
      <c r="V9" s="1681" t="s">
        <v>25</v>
      </c>
      <c r="W9" s="1682">
        <f t="shared" si="2"/>
        <v>100</v>
      </c>
      <c r="X9" s="1683"/>
      <c r="Y9" s="3329"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68"/>
      <c r="Q10" s="1635" t="str">
        <f t="shared" si="6"/>
        <v>土地使用年限（年）</v>
      </c>
      <c r="R10" s="1681" t="s">
        <v>25</v>
      </c>
      <c r="S10" s="1682" t="e">
        <f t="shared" si="0"/>
        <v>#DIV/0!</v>
      </c>
      <c r="T10" s="1681" t="s">
        <v>25</v>
      </c>
      <c r="U10" s="1682" t="e">
        <f t="shared" si="1"/>
        <v>#DIV/0!</v>
      </c>
      <c r="V10" s="1681" t="s">
        <v>25</v>
      </c>
      <c r="W10" s="1682" t="e">
        <f t="shared" si="2"/>
        <v>#DIV/0!</v>
      </c>
      <c r="X10" s="1683"/>
      <c r="Y10" s="3329"/>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68"/>
      <c r="Q11" s="1635" t="str">
        <f t="shared" si="6"/>
        <v>容积率</v>
      </c>
      <c r="R11" s="1681" t="s">
        <v>25</v>
      </c>
      <c r="S11" s="1682" t="e">
        <f t="shared" si="0"/>
        <v>#N/A</v>
      </c>
      <c r="T11" s="1681" t="s">
        <v>25</v>
      </c>
      <c r="U11" s="1682" t="e">
        <f t="shared" si="1"/>
        <v>#N/A</v>
      </c>
      <c r="V11" s="1681" t="s">
        <v>25</v>
      </c>
      <c r="W11" s="1682" t="e">
        <f t="shared" si="2"/>
        <v>#N/A</v>
      </c>
      <c r="X11" s="1683"/>
      <c r="Y11" s="3329"/>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68"/>
      <c r="Q12" s="1635" t="str">
        <f t="shared" si="6"/>
        <v>配建</v>
      </c>
      <c r="R12" s="1681" t="s">
        <v>25</v>
      </c>
      <c r="S12" s="1682">
        <f t="shared" si="0"/>
        <v>100</v>
      </c>
      <c r="T12" s="1681" t="s">
        <v>25</v>
      </c>
      <c r="U12" s="1682">
        <f t="shared" si="1"/>
        <v>100</v>
      </c>
      <c r="V12" s="1681" t="s">
        <v>25</v>
      </c>
      <c r="W12" s="1682">
        <f t="shared" si="2"/>
        <v>100</v>
      </c>
      <c r="X12" s="1683"/>
      <c r="Y12" s="3329"/>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68"/>
      <c r="Q13" s="1635">
        <f t="shared" si="6"/>
        <v>111</v>
      </c>
      <c r="R13" s="1681" t="s">
        <v>25</v>
      </c>
      <c r="S13" s="1682">
        <f t="shared" si="0"/>
        <v>100</v>
      </c>
      <c r="T13" s="1681" t="s">
        <v>25</v>
      </c>
      <c r="U13" s="1682">
        <f t="shared" si="1"/>
        <v>100</v>
      </c>
      <c r="V13" s="1681" t="s">
        <v>25</v>
      </c>
      <c r="W13" s="1682">
        <f t="shared" si="2"/>
        <v>100</v>
      </c>
      <c r="X13" s="1683"/>
      <c r="Y13" s="3329"/>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68"/>
      <c r="Q14" s="1635">
        <f t="shared" si="6"/>
        <v>111</v>
      </c>
      <c r="R14" s="1681" t="s">
        <v>25</v>
      </c>
      <c r="S14" s="1682">
        <f t="shared" si="0"/>
        <v>100</v>
      </c>
      <c r="T14" s="1681" t="s">
        <v>25</v>
      </c>
      <c r="U14" s="1682">
        <f t="shared" si="1"/>
        <v>100</v>
      </c>
      <c r="V14" s="1681" t="s">
        <v>25</v>
      </c>
      <c r="W14" s="1682">
        <f t="shared" si="2"/>
        <v>100</v>
      </c>
      <c r="X14" s="1683"/>
      <c r="Y14" s="3329"/>
      <c r="Z14" s="1693">
        <f t="shared" si="7"/>
        <v>111</v>
      </c>
      <c r="AA14" s="1684">
        <f>D14/F14</f>
        <v>1</v>
      </c>
      <c r="AB14" s="1684">
        <f>D14/H14</f>
        <v>1</v>
      </c>
      <c r="AC14" s="1684">
        <f>D14/J14</f>
        <v>1</v>
      </c>
    </row>
    <row r="15" spans="1:30" ht="96.6">
      <c r="A15" s="1663" t="s">
        <v>2277</v>
      </c>
      <c r="B15" s="1972" t="s">
        <v>1711</v>
      </c>
      <c r="C15" s="1973" t="str">
        <f>估价对象房地状况!C15</f>
        <v>估价对象周边有颐慧佳园、玲珑花园、玫瑰御园等社区，综合评价居住社区成熟度较好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56" t="s">
        <v>2278</v>
      </c>
      <c r="Q15" s="1616" t="str">
        <f t="shared" si="6"/>
        <v>居住社区成熟度</v>
      </c>
      <c r="R15" s="1725" t="s">
        <v>25</v>
      </c>
      <c r="S15" s="1726">
        <f t="shared" si="0"/>
        <v>100</v>
      </c>
      <c r="T15" s="1725" t="s">
        <v>25</v>
      </c>
      <c r="U15" s="1726">
        <f t="shared" si="1"/>
        <v>100</v>
      </c>
      <c r="V15" s="1725" t="s">
        <v>25</v>
      </c>
      <c r="W15" s="1726">
        <f t="shared" si="2"/>
        <v>100</v>
      </c>
      <c r="X15" s="1666"/>
      <c r="Y15" s="3456"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57"/>
      <c r="Q16" s="1616"/>
      <c r="R16" s="1725"/>
      <c r="S16" s="1726"/>
      <c r="T16" s="1725"/>
      <c r="U16" s="1726"/>
      <c r="V16" s="1725"/>
      <c r="W16" s="1726"/>
      <c r="X16" s="1666"/>
      <c r="Y16" s="3457"/>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57"/>
      <c r="Q17" s="1616" t="str">
        <f>B17</f>
        <v>商业繁华度</v>
      </c>
      <c r="R17" s="1725" t="s">
        <v>25</v>
      </c>
      <c r="S17" s="1726">
        <f>F17</f>
        <v>100</v>
      </c>
      <c r="T17" s="1725" t="s">
        <v>25</v>
      </c>
      <c r="U17" s="1726">
        <f>H17</f>
        <v>100</v>
      </c>
      <c r="V17" s="1725" t="s">
        <v>25</v>
      </c>
      <c r="W17" s="1726">
        <f>J17</f>
        <v>100</v>
      </c>
      <c r="X17" s="1666"/>
      <c r="Y17" s="3457"/>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57"/>
      <c r="Q18" s="1616"/>
      <c r="R18" s="1725"/>
      <c r="S18" s="1726"/>
      <c r="T18" s="1725"/>
      <c r="U18" s="1726"/>
      <c r="V18" s="1725"/>
      <c r="W18" s="1726"/>
      <c r="X18" s="1666"/>
      <c r="Y18" s="3457"/>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57"/>
      <c r="Q19" s="1616" t="str">
        <f>B19</f>
        <v>办公集聚程度</v>
      </c>
      <c r="R19" s="1725" t="s">
        <v>25</v>
      </c>
      <c r="S19" s="1726">
        <f>F19</f>
        <v>100</v>
      </c>
      <c r="T19" s="1725" t="s">
        <v>25</v>
      </c>
      <c r="U19" s="1726">
        <f>H19</f>
        <v>100</v>
      </c>
      <c r="V19" s="1725" t="s">
        <v>25</v>
      </c>
      <c r="W19" s="1726">
        <f>J19</f>
        <v>100</v>
      </c>
      <c r="X19" s="1666"/>
      <c r="Y19" s="3457"/>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57"/>
      <c r="Q20" s="1616"/>
      <c r="R20" s="1725"/>
      <c r="S20" s="1726"/>
      <c r="T20" s="1725"/>
      <c r="U20" s="1726"/>
      <c r="V20" s="1725"/>
      <c r="W20" s="1726"/>
      <c r="X20" s="1666"/>
      <c r="Y20" s="3457"/>
      <c r="Z20" s="1727"/>
      <c r="AA20" s="1728">
        <v>1</v>
      </c>
      <c r="AB20" s="1728">
        <v>1</v>
      </c>
      <c r="AC20" s="1728">
        <v>1</v>
      </c>
    </row>
    <row r="21" spans="1:29" ht="179.4">
      <c r="A21" s="1668"/>
      <c r="B21" s="1976" t="s">
        <v>2414</v>
      </c>
      <c r="C21" s="1980" t="str">
        <f>估价对象房地状况!C18</f>
        <v>估价对象周边有专98路、33路、快速直达专线83、481路、507路、632路、85路、40路等多条公交线路，距地铁6号线（慈寿寺）约小于1公里，综合评价交通便捷度较好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57"/>
      <c r="Q21" s="1616" t="str">
        <f>B21</f>
        <v>交通便捷度</v>
      </c>
      <c r="R21" s="1725" t="s">
        <v>25</v>
      </c>
      <c r="S21" s="1726">
        <f>F21</f>
        <v>100</v>
      </c>
      <c r="T21" s="1725" t="s">
        <v>25</v>
      </c>
      <c r="U21" s="1726">
        <f>H21</f>
        <v>100</v>
      </c>
      <c r="V21" s="1725" t="s">
        <v>25</v>
      </c>
      <c r="W21" s="1726">
        <f>J21</f>
        <v>100</v>
      </c>
      <c r="X21" s="1666"/>
      <c r="Y21" s="3457"/>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57"/>
      <c r="Q22" s="1616"/>
      <c r="R22" s="1725"/>
      <c r="S22" s="1726"/>
      <c r="T22" s="1725"/>
      <c r="U22" s="1726"/>
      <c r="V22" s="1725"/>
      <c r="W22" s="1726"/>
      <c r="X22" s="1666"/>
      <c r="Y22" s="3457"/>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57"/>
      <c r="Q23" s="1616" t="str">
        <f t="shared" ref="Q23:Q37" si="8">B23</f>
        <v>区域土地利用方向</v>
      </c>
      <c r="R23" s="1725" t="s">
        <v>25</v>
      </c>
      <c r="S23" s="1726">
        <f>F23</f>
        <v>100</v>
      </c>
      <c r="T23" s="1725" t="s">
        <v>25</v>
      </c>
      <c r="U23" s="1726">
        <f>H23</f>
        <v>100</v>
      </c>
      <c r="V23" s="1725" t="s">
        <v>25</v>
      </c>
      <c r="W23" s="1726">
        <f>J23</f>
        <v>100</v>
      </c>
      <c r="X23" s="1666"/>
      <c r="Y23" s="3457"/>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57"/>
      <c r="Q24" s="1616"/>
      <c r="R24" s="1725"/>
      <c r="S24" s="1726"/>
      <c r="T24" s="1725"/>
      <c r="U24" s="1726"/>
      <c r="V24" s="1725"/>
      <c r="W24" s="1726"/>
      <c r="X24" s="1666"/>
      <c r="Y24" s="3457"/>
      <c r="Z24" s="1727"/>
      <c r="AA24" s="1728"/>
      <c r="AB24" s="1728"/>
      <c r="AC24" s="1728"/>
    </row>
    <row r="25" spans="1:29" ht="110.4">
      <c r="A25" s="1668"/>
      <c r="B25" s="1981" t="s">
        <v>2455</v>
      </c>
      <c r="C25" s="1977" t="str">
        <f>估价对象房地状况!C20</f>
        <v>区域自然环境：玲珑公园、京密引水渠；人文环境：宝联体育公园等；综合评价环境状况较好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57"/>
      <c r="Q25" s="1616" t="str">
        <f t="shared" si="8"/>
        <v>自然及人文环境状况</v>
      </c>
      <c r="R25" s="1725" t="s">
        <v>25</v>
      </c>
      <c r="S25" s="1726">
        <f>F25</f>
        <v>100</v>
      </c>
      <c r="T25" s="1725" t="s">
        <v>25</v>
      </c>
      <c r="U25" s="1726">
        <f>H25</f>
        <v>100</v>
      </c>
      <c r="V25" s="1725" t="s">
        <v>25</v>
      </c>
      <c r="W25" s="1726">
        <f>J25</f>
        <v>100</v>
      </c>
      <c r="X25" s="1666"/>
      <c r="Y25" s="3457"/>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57"/>
      <c r="Q26" s="1616"/>
      <c r="R26" s="1725"/>
      <c r="S26" s="1726"/>
      <c r="T26" s="1725"/>
      <c r="U26" s="1726"/>
      <c r="V26" s="1725"/>
      <c r="W26" s="1726"/>
      <c r="X26" s="1666"/>
      <c r="Y26" s="3457"/>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57"/>
      <c r="Q27" s="1635" t="str">
        <f t="shared" ref="Q27" si="9">B27</f>
        <v>公共配套设施</v>
      </c>
      <c r="R27" s="1681" t="s">
        <v>25</v>
      </c>
      <c r="S27" s="1682">
        <f>F27</f>
        <v>100</v>
      </c>
      <c r="T27" s="1681" t="s">
        <v>25</v>
      </c>
      <c r="U27" s="1682">
        <f>H27</f>
        <v>100</v>
      </c>
      <c r="V27" s="1681" t="s">
        <v>25</v>
      </c>
      <c r="W27" s="1682">
        <f>J27</f>
        <v>100</v>
      </c>
      <c r="X27" s="1666"/>
      <c r="Y27" s="3457"/>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57"/>
      <c r="Q28" s="1616"/>
      <c r="R28" s="1725"/>
      <c r="S28" s="1726"/>
      <c r="T28" s="1725"/>
      <c r="U28" s="1726"/>
      <c r="V28" s="1725"/>
      <c r="W28" s="1726"/>
      <c r="X28" s="1666"/>
      <c r="Y28" s="3457"/>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57"/>
      <c r="Q29" s="1635" t="str">
        <f t="shared" si="8"/>
        <v>基础设施水平</v>
      </c>
      <c r="R29" s="1681" t="s">
        <v>25</v>
      </c>
      <c r="S29" s="1682">
        <f>F29</f>
        <v>100</v>
      </c>
      <c r="T29" s="1681" t="s">
        <v>25</v>
      </c>
      <c r="U29" s="1682">
        <f>H29</f>
        <v>100</v>
      </c>
      <c r="V29" s="1681" t="s">
        <v>25</v>
      </c>
      <c r="W29" s="1682">
        <f>J29</f>
        <v>100</v>
      </c>
      <c r="X29" s="1683"/>
      <c r="Y29" s="3457"/>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57"/>
      <c r="Q30" s="1635"/>
      <c r="R30" s="1681"/>
      <c r="S30" s="1682"/>
      <c r="T30" s="1681"/>
      <c r="U30" s="1682"/>
      <c r="V30" s="1681"/>
      <c r="W30" s="1682"/>
      <c r="X30" s="1683"/>
      <c r="Y30" s="3457"/>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5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57"/>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57"/>
      <c r="Q32" s="1616" t="str">
        <f t="shared" si="8"/>
        <v>毗邻道路的类型与等级</v>
      </c>
      <c r="R32" s="1725" t="s">
        <v>25</v>
      </c>
      <c r="S32" s="1726">
        <f t="shared" si="10"/>
        <v>100</v>
      </c>
      <c r="T32" s="1725" t="s">
        <v>25</v>
      </c>
      <c r="U32" s="1726">
        <f t="shared" si="11"/>
        <v>100</v>
      </c>
      <c r="V32" s="1725" t="s">
        <v>25</v>
      </c>
      <c r="W32" s="1726">
        <f t="shared" si="12"/>
        <v>100</v>
      </c>
      <c r="X32" s="1666"/>
      <c r="Y32" s="3457"/>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57"/>
      <c r="Q33" s="1616"/>
      <c r="R33" s="1725"/>
      <c r="S33" s="1726"/>
      <c r="T33" s="1725"/>
      <c r="U33" s="1726"/>
      <c r="V33" s="1725"/>
      <c r="W33" s="1726"/>
      <c r="X33" s="1666"/>
      <c r="Y33" s="3457"/>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57"/>
      <c r="Q34" s="1616" t="str">
        <f t="shared" si="8"/>
        <v>土地级别</v>
      </c>
      <c r="R34" s="1725" t="s">
        <v>25</v>
      </c>
      <c r="S34" s="1726">
        <f t="shared" si="10"/>
        <v>100</v>
      </c>
      <c r="T34" s="1725" t="s">
        <v>25</v>
      </c>
      <c r="U34" s="1726">
        <f t="shared" si="11"/>
        <v>100</v>
      </c>
      <c r="V34" s="1725" t="s">
        <v>25</v>
      </c>
      <c r="W34" s="1726">
        <f t="shared" si="12"/>
        <v>100</v>
      </c>
      <c r="X34" s="1666"/>
      <c r="Y34" s="3457"/>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57"/>
      <c r="Q35" s="1616">
        <f t="shared" si="8"/>
        <v>111</v>
      </c>
      <c r="R35" s="1725" t="s">
        <v>25</v>
      </c>
      <c r="S35" s="1726">
        <f t="shared" si="10"/>
        <v>100</v>
      </c>
      <c r="T35" s="1725" t="s">
        <v>25</v>
      </c>
      <c r="U35" s="1726">
        <f t="shared" si="11"/>
        <v>100</v>
      </c>
      <c r="V35" s="1725" t="s">
        <v>25</v>
      </c>
      <c r="W35" s="1726">
        <f t="shared" si="12"/>
        <v>100</v>
      </c>
      <c r="X35" s="1666"/>
      <c r="Y35" s="3457"/>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480" t="s">
        <v>2284</v>
      </c>
      <c r="Q36" s="1616">
        <f t="shared" si="8"/>
        <v>111</v>
      </c>
      <c r="R36" s="1725" t="s">
        <v>25</v>
      </c>
      <c r="S36" s="1726">
        <f t="shared" si="10"/>
        <v>100</v>
      </c>
      <c r="T36" s="1725" t="s">
        <v>25</v>
      </c>
      <c r="U36" s="1726">
        <f t="shared" si="11"/>
        <v>100</v>
      </c>
      <c r="V36" s="1725" t="s">
        <v>25</v>
      </c>
      <c r="W36" s="1726">
        <f t="shared" si="12"/>
        <v>100</v>
      </c>
      <c r="X36" s="1666"/>
      <c r="Y36" s="3461"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61"/>
      <c r="Q37" s="1616">
        <f t="shared" si="8"/>
        <v>111</v>
      </c>
      <c r="R37" s="1767" t="s">
        <v>25</v>
      </c>
      <c r="S37" s="1768">
        <f t="shared" si="10"/>
        <v>100</v>
      </c>
      <c r="T37" s="1767" t="s">
        <v>25</v>
      </c>
      <c r="U37" s="1768">
        <f t="shared" si="11"/>
        <v>100</v>
      </c>
      <c r="V37" s="1767" t="s">
        <v>25</v>
      </c>
      <c r="W37" s="1768">
        <f t="shared" si="12"/>
        <v>100</v>
      </c>
      <c r="X37" s="1769"/>
      <c r="Y37" s="3461"/>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61"/>
      <c r="Q38" s="1616" t="str">
        <f>B38</f>
        <v>宗地面积</v>
      </c>
      <c r="R38" s="1725" t="s">
        <v>25</v>
      </c>
      <c r="S38" s="1726" t="e">
        <f t="shared" si="10"/>
        <v>#N/A</v>
      </c>
      <c r="T38" s="1725" t="s">
        <v>25</v>
      </c>
      <c r="U38" s="1726" t="e">
        <f t="shared" si="11"/>
        <v>#N/A</v>
      </c>
      <c r="V38" s="1725" t="s">
        <v>25</v>
      </c>
      <c r="W38" s="1726" t="e">
        <f t="shared" si="12"/>
        <v>#N/A</v>
      </c>
      <c r="X38" s="1666"/>
      <c r="Y38" s="3461"/>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61"/>
      <c r="Q39" s="1616" t="str">
        <f t="shared" ref="Q39:Q45" si="14">B39</f>
        <v>宗地形状</v>
      </c>
      <c r="R39" s="1725" t="s">
        <v>25</v>
      </c>
      <c r="S39" s="1726">
        <f t="shared" si="10"/>
        <v>100</v>
      </c>
      <c r="T39" s="1725" t="s">
        <v>25</v>
      </c>
      <c r="U39" s="1726">
        <f t="shared" si="11"/>
        <v>100</v>
      </c>
      <c r="V39" s="1725" t="s">
        <v>25</v>
      </c>
      <c r="W39" s="1726">
        <f t="shared" si="12"/>
        <v>100</v>
      </c>
      <c r="X39" s="1666"/>
      <c r="Y39" s="3461"/>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61"/>
      <c r="Q40" s="1616" t="str">
        <f t="shared" si="14"/>
        <v>临街宽度及深度</v>
      </c>
      <c r="R40" s="1725" t="s">
        <v>25</v>
      </c>
      <c r="S40" s="1726">
        <f t="shared" si="10"/>
        <v>100</v>
      </c>
      <c r="T40" s="1725" t="s">
        <v>25</v>
      </c>
      <c r="U40" s="1726">
        <f t="shared" si="11"/>
        <v>100</v>
      </c>
      <c r="V40" s="1725" t="s">
        <v>25</v>
      </c>
      <c r="W40" s="1726">
        <f t="shared" si="12"/>
        <v>100</v>
      </c>
      <c r="X40" s="1666"/>
      <c r="Y40" s="3461"/>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61"/>
      <c r="Q41" s="1616" t="str">
        <f t="shared" si="14"/>
        <v>宗地开发程度</v>
      </c>
      <c r="R41" s="1681" t="s">
        <v>25</v>
      </c>
      <c r="S41" s="1682">
        <f t="shared" si="10"/>
        <v>100</v>
      </c>
      <c r="T41" s="1681" t="s">
        <v>25</v>
      </c>
      <c r="U41" s="1682">
        <f t="shared" si="11"/>
        <v>100</v>
      </c>
      <c r="V41" s="1681" t="s">
        <v>25</v>
      </c>
      <c r="W41" s="1682">
        <f t="shared" si="12"/>
        <v>100</v>
      </c>
      <c r="X41" s="1683"/>
      <c r="Y41" s="3461"/>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61" t="s">
        <v>2284</v>
      </c>
      <c r="Q42" s="1616" t="str">
        <f t="shared" si="14"/>
        <v>工程地质条件</v>
      </c>
      <c r="R42" s="1725" t="s">
        <v>25</v>
      </c>
      <c r="S42" s="1726">
        <f t="shared" si="10"/>
        <v>100</v>
      </c>
      <c r="T42" s="1725" t="s">
        <v>25</v>
      </c>
      <c r="U42" s="1726">
        <f t="shared" si="11"/>
        <v>100</v>
      </c>
      <c r="V42" s="1725" t="s">
        <v>25</v>
      </c>
      <c r="W42" s="1726">
        <f t="shared" si="12"/>
        <v>100</v>
      </c>
      <c r="X42" s="1666"/>
      <c r="Y42" s="3461"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61"/>
      <c r="Q43" s="1616">
        <f t="shared" si="14"/>
        <v>111</v>
      </c>
      <c r="R43" s="1725" t="s">
        <v>25</v>
      </c>
      <c r="S43" s="1726">
        <f t="shared" si="10"/>
        <v>100</v>
      </c>
      <c r="T43" s="1725" t="s">
        <v>25</v>
      </c>
      <c r="U43" s="1726">
        <f t="shared" si="11"/>
        <v>100</v>
      </c>
      <c r="V43" s="1725" t="s">
        <v>25</v>
      </c>
      <c r="W43" s="1726">
        <f t="shared" si="12"/>
        <v>100</v>
      </c>
      <c r="X43" s="1666"/>
      <c r="Y43" s="3461"/>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61"/>
      <c r="Q44" s="1616">
        <f t="shared" si="14"/>
        <v>111</v>
      </c>
      <c r="R44" s="1725" t="s">
        <v>25</v>
      </c>
      <c r="S44" s="1726">
        <f t="shared" si="10"/>
        <v>100</v>
      </c>
      <c r="T44" s="1725" t="s">
        <v>25</v>
      </c>
      <c r="U44" s="1726">
        <f t="shared" si="11"/>
        <v>100</v>
      </c>
      <c r="V44" s="1725" t="s">
        <v>25</v>
      </c>
      <c r="W44" s="1726">
        <f t="shared" si="12"/>
        <v>100</v>
      </c>
      <c r="X44" s="1666"/>
      <c r="Y44" s="3461"/>
      <c r="Z44" s="1727">
        <f t="shared" si="13"/>
        <v>111</v>
      </c>
      <c r="AA44" s="1728">
        <f t="shared" si="3"/>
        <v>1</v>
      </c>
      <c r="AB44" s="1728">
        <f t="shared" si="4"/>
        <v>1</v>
      </c>
      <c r="AC44" s="1728">
        <f t="shared" si="5"/>
        <v>1</v>
      </c>
    </row>
    <row r="45" spans="1:29" s="1771" customFormat="1" ht="15.6" thickBot="1">
      <c r="A45" s="1764"/>
      <c r="B45" s="2003">
        <v>111</v>
      </c>
      <c r="C45" s="2004"/>
      <c r="D45" s="3149">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61"/>
      <c r="Q45" s="1616">
        <f t="shared" si="14"/>
        <v>111</v>
      </c>
      <c r="R45" s="1767" t="s">
        <v>25</v>
      </c>
      <c r="S45" s="1768">
        <f t="shared" si="10"/>
        <v>100</v>
      </c>
      <c r="T45" s="1767" t="s">
        <v>25</v>
      </c>
      <c r="U45" s="1768">
        <f t="shared" si="11"/>
        <v>100</v>
      </c>
      <c r="V45" s="1767" t="s">
        <v>25</v>
      </c>
      <c r="W45" s="1768">
        <f t="shared" si="12"/>
        <v>100</v>
      </c>
      <c r="X45" s="1769"/>
      <c r="Y45" s="3461"/>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468" t="str">
        <f>A46</f>
        <v>成交单价</v>
      </c>
      <c r="Q46" s="3468"/>
      <c r="R46" s="3447">
        <f>E46</f>
        <v>0</v>
      </c>
      <c r="S46" s="3447"/>
      <c r="T46" s="3447">
        <f>G46</f>
        <v>0</v>
      </c>
      <c r="U46" s="3447"/>
      <c r="V46" s="3447">
        <f>I46</f>
        <v>0</v>
      </c>
      <c r="W46" s="3447"/>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68" t="str">
        <f>A47</f>
        <v>比较价值（元/平方米）</v>
      </c>
      <c r="Q47" s="3468"/>
      <c r="R47" s="3523" t="e">
        <f>ROUND(PRODUCT(R46,AA7:AA45),0)</f>
        <v>#DIV/0!</v>
      </c>
      <c r="S47" s="3523"/>
      <c r="T47" s="3523" t="e">
        <f>ROUND(PRODUCT(T46,AB7:AB45),0)</f>
        <v>#DIV/0!</v>
      </c>
      <c r="U47" s="3523"/>
      <c r="V47" s="3523" t="e">
        <f>ROUND(PRODUCT(V46,AC7:AC45),0)</f>
        <v>#DIV/0!</v>
      </c>
      <c r="W47" s="3523"/>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474" t="str">
        <f>A48</f>
        <v>估价对象XX用房的比较价值（楼面单价，元/平方米）</v>
      </c>
      <c r="Q48" s="3475"/>
      <c r="R48" s="3524" t="e">
        <f>ROUND(IF(D47="简单平均",AVERAGE(R47:W47),R47*F47+T47*H47+V47*J47),0)</f>
        <v>#DIV/0!</v>
      </c>
      <c r="S48" s="3524"/>
      <c r="T48" s="3524"/>
      <c r="U48" s="3524"/>
      <c r="V48" s="3524"/>
      <c r="W48" s="3524"/>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2024-8-1</v>
      </c>
      <c r="D68" s="2040">
        <f>EDATE(C68,-3)</f>
        <v>45413</v>
      </c>
      <c r="E68" s="2040">
        <f t="shared" ref="E68:O68" si="18">EDATE(D68,-3)</f>
        <v>45323</v>
      </c>
      <c r="F68" s="2040">
        <f t="shared" si="18"/>
        <v>45231</v>
      </c>
      <c r="G68" s="2040">
        <f t="shared" si="18"/>
        <v>45139</v>
      </c>
      <c r="H68" s="2040">
        <f t="shared" si="18"/>
        <v>45047</v>
      </c>
      <c r="I68" s="2040">
        <f t="shared" si="18"/>
        <v>44958</v>
      </c>
      <c r="J68" s="2040">
        <f t="shared" si="18"/>
        <v>44866</v>
      </c>
      <c r="K68" s="2040">
        <f t="shared" si="18"/>
        <v>44774</v>
      </c>
      <c r="L68" s="2040">
        <f t="shared" si="18"/>
        <v>44682</v>
      </c>
      <c r="M68" s="2040">
        <f t="shared" si="18"/>
        <v>44593</v>
      </c>
      <c r="N68" s="2040">
        <f t="shared" si="18"/>
        <v>44501</v>
      </c>
      <c r="O68" s="2040">
        <f t="shared" si="18"/>
        <v>44409</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2024-3</v>
      </c>
      <c r="D70" s="2048" t="str">
        <f>YEAR(D68)&amp;"-"&amp;ROUNDUP(MONTH(D68)/3,0)</f>
        <v>2024-2</v>
      </c>
      <c r="E70" s="2048" t="str">
        <f t="shared" ref="E70:O70" si="19">YEAR(E68)&amp;"-"&amp;ROUNDUP(MONTH(E68)/3,0)</f>
        <v>2024-1</v>
      </c>
      <c r="F70" s="2048" t="str">
        <f t="shared" si="19"/>
        <v>2023-4</v>
      </c>
      <c r="G70" s="2048" t="str">
        <f t="shared" si="19"/>
        <v>2023-3</v>
      </c>
      <c r="H70" s="2048" t="str">
        <f t="shared" si="19"/>
        <v>2023-2</v>
      </c>
      <c r="I70" s="2048" t="str">
        <f t="shared" si="19"/>
        <v>2023-1</v>
      </c>
      <c r="J70" s="2048" t="str">
        <f t="shared" si="19"/>
        <v>2022-4</v>
      </c>
      <c r="K70" s="2048" t="str">
        <f t="shared" si="19"/>
        <v>2022-3</v>
      </c>
      <c r="L70" s="2048" t="str">
        <f t="shared" si="19"/>
        <v>2022-2</v>
      </c>
      <c r="M70" s="2048" t="str">
        <f t="shared" si="19"/>
        <v>2022-1</v>
      </c>
      <c r="N70" s="2048" t="str">
        <f t="shared" si="19"/>
        <v>2021-4</v>
      </c>
      <c r="O70" s="2048" t="str">
        <f t="shared" si="19"/>
        <v>2021-3</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503" t="s">
        <v>2255</v>
      </c>
      <c r="S4" s="3504"/>
      <c r="T4" s="3503" t="s">
        <v>2256</v>
      </c>
      <c r="U4" s="3504"/>
      <c r="V4" s="3509" t="s">
        <v>2257</v>
      </c>
      <c r="W4" s="3509"/>
      <c r="X4" s="1335"/>
      <c r="Y4" s="3503" t="s">
        <v>2259</v>
      </c>
      <c r="Z4" s="3504"/>
      <c r="AA4" s="3490" t="s">
        <v>2255</v>
      </c>
      <c r="AB4" s="3491" t="s">
        <v>2256</v>
      </c>
      <c r="AC4" s="3490" t="s">
        <v>2257</v>
      </c>
    </row>
    <row r="5" spans="1:29">
      <c r="A5" s="297"/>
      <c r="B5" s="298"/>
      <c r="C5" s="3486" t="s">
        <v>2260</v>
      </c>
      <c r="D5" s="3487"/>
      <c r="E5" s="3510" t="s">
        <v>2261</v>
      </c>
      <c r="F5" s="3511"/>
      <c r="G5" s="3486" t="s">
        <v>2262</v>
      </c>
      <c r="H5" s="3487"/>
      <c r="I5" s="3486" t="s">
        <v>2263</v>
      </c>
      <c r="J5" s="3487"/>
      <c r="K5" s="496"/>
      <c r="L5" s="3027"/>
      <c r="M5" s="3028"/>
      <c r="N5" s="3028"/>
      <c r="O5" s="3028"/>
      <c r="P5" s="3499"/>
      <c r="Q5" s="3500"/>
      <c r="R5" s="3505"/>
      <c r="S5" s="3506"/>
      <c r="T5" s="3505"/>
      <c r="U5" s="3506"/>
      <c r="V5" s="3509"/>
      <c r="W5" s="3509"/>
      <c r="X5" s="1335"/>
      <c r="Y5" s="3505"/>
      <c r="Z5" s="3506"/>
      <c r="AA5" s="3491"/>
      <c r="AB5" s="3491"/>
      <c r="AC5" s="3491"/>
    </row>
    <row r="6" spans="1:29" ht="15" thickBot="1">
      <c r="A6" s="299"/>
      <c r="B6" s="300"/>
      <c r="C6" s="3483" t="s">
        <v>2264</v>
      </c>
      <c r="D6" s="3484"/>
      <c r="E6" s="3481" t="s">
        <v>2264</v>
      </c>
      <c r="F6" s="3482"/>
      <c r="G6" s="3483" t="s">
        <v>2264</v>
      </c>
      <c r="H6" s="3484"/>
      <c r="I6" s="3483" t="s">
        <v>2264</v>
      </c>
      <c r="J6" s="3484"/>
      <c r="K6" s="496" t="s">
        <v>2265</v>
      </c>
      <c r="L6" s="3027"/>
      <c r="M6" s="3028"/>
      <c r="N6" s="3028"/>
      <c r="O6" s="3028"/>
      <c r="P6" s="3501"/>
      <c r="Q6" s="3502"/>
      <c r="R6" s="3505"/>
      <c r="S6" s="3506"/>
      <c r="T6" s="3507"/>
      <c r="U6" s="3508"/>
      <c r="V6" s="3509"/>
      <c r="W6" s="3509"/>
      <c r="X6" s="1335"/>
      <c r="Y6" s="3507"/>
      <c r="Z6" s="3508"/>
      <c r="AA6" s="3492"/>
      <c r="AB6" s="3492"/>
      <c r="AC6" s="3492"/>
    </row>
    <row r="7" spans="1:29" s="25" customFormat="1" ht="15" thickBot="1">
      <c r="A7" s="301" t="s">
        <v>2266</v>
      </c>
      <c r="B7" s="302"/>
      <c r="C7" s="303">
        <f>'数据-取费表'!B2</f>
        <v>45513</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88" t="s">
        <v>2267</v>
      </c>
      <c r="Q7" s="3512"/>
      <c r="R7" s="627" t="s">
        <v>25</v>
      </c>
      <c r="S7" s="628">
        <f t="shared" ref="S7:S15" si="0">F7</f>
        <v>0</v>
      </c>
      <c r="T7" s="627" t="s">
        <v>25</v>
      </c>
      <c r="U7" s="628">
        <f t="shared" ref="U7:U15" si="1">H7</f>
        <v>0</v>
      </c>
      <c r="V7" s="627" t="s">
        <v>25</v>
      </c>
      <c r="W7" s="628">
        <f t="shared" ref="W7:W15" si="2">J7</f>
        <v>0</v>
      </c>
      <c r="X7" s="629"/>
      <c r="Y7" s="3488" t="s">
        <v>2267</v>
      </c>
      <c r="Z7" s="3489"/>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88" t="s">
        <v>2270</v>
      </c>
      <c r="Q8" s="3489"/>
      <c r="R8" s="627" t="s">
        <v>25</v>
      </c>
      <c r="S8" s="628">
        <f t="shared" si="0"/>
        <v>0</v>
      </c>
      <c r="T8" s="627" t="s">
        <v>25</v>
      </c>
      <c r="U8" s="628">
        <f t="shared" si="1"/>
        <v>0</v>
      </c>
      <c r="V8" s="627" t="s">
        <v>25</v>
      </c>
      <c r="W8" s="628">
        <f t="shared" si="2"/>
        <v>0</v>
      </c>
      <c r="X8" s="629"/>
      <c r="Y8" s="3488" t="s">
        <v>2270</v>
      </c>
      <c r="Z8" s="3489"/>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85" t="s">
        <v>2273</v>
      </c>
      <c r="Q9" s="1327" t="str">
        <f t="shared" ref="Q9:Q15" si="6">B9</f>
        <v>用途</v>
      </c>
      <c r="R9" s="627" t="s">
        <v>25</v>
      </c>
      <c r="S9" s="628">
        <f t="shared" si="0"/>
        <v>100</v>
      </c>
      <c r="T9" s="627" t="s">
        <v>25</v>
      </c>
      <c r="U9" s="628">
        <f t="shared" si="1"/>
        <v>100</v>
      </c>
      <c r="V9" s="627" t="s">
        <v>25</v>
      </c>
      <c r="W9" s="628">
        <f t="shared" si="2"/>
        <v>100</v>
      </c>
      <c r="X9" s="629"/>
      <c r="Y9" s="3515"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485"/>
      <c r="Q10" s="1327" t="str">
        <f t="shared" si="6"/>
        <v>土地使用年限（年）</v>
      </c>
      <c r="R10" s="627" t="s">
        <v>25</v>
      </c>
      <c r="S10" s="628" t="e">
        <f t="shared" si="0"/>
        <v>#DIV/0!</v>
      </c>
      <c r="T10" s="627" t="s">
        <v>25</v>
      </c>
      <c r="U10" s="628" t="e">
        <f t="shared" si="1"/>
        <v>#DIV/0!</v>
      </c>
      <c r="V10" s="627" t="s">
        <v>25</v>
      </c>
      <c r="W10" s="628" t="e">
        <f t="shared" si="2"/>
        <v>#DIV/0!</v>
      </c>
      <c r="X10" s="629"/>
      <c r="Y10" s="3515"/>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85"/>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85"/>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13" t="s">
        <v>2278</v>
      </c>
      <c r="Q15" s="1334" t="str">
        <f t="shared" si="6"/>
        <v>产业集聚程度</v>
      </c>
      <c r="R15" s="631" t="s">
        <v>25</v>
      </c>
      <c r="S15" s="632">
        <f t="shared" si="0"/>
        <v>100</v>
      </c>
      <c r="T15" s="631" t="s">
        <v>25</v>
      </c>
      <c r="U15" s="632">
        <f t="shared" si="1"/>
        <v>100</v>
      </c>
      <c r="V15" s="631" t="s">
        <v>25</v>
      </c>
      <c r="W15" s="632">
        <f t="shared" si="2"/>
        <v>100</v>
      </c>
      <c r="X15" s="1335"/>
      <c r="Y15" s="351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14"/>
      <c r="Q16" s="1334"/>
      <c r="R16" s="631"/>
      <c r="S16" s="632"/>
      <c r="T16" s="631"/>
      <c r="U16" s="632"/>
      <c r="V16" s="631"/>
      <c r="W16" s="632"/>
      <c r="X16" s="1335"/>
      <c r="Y16" s="3514"/>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14"/>
      <c r="Q18" s="1334"/>
      <c r="R18" s="631"/>
      <c r="S18" s="632"/>
      <c r="T18" s="631"/>
      <c r="U18" s="632"/>
      <c r="V18" s="631"/>
      <c r="W18" s="632"/>
      <c r="X18" s="1335"/>
      <c r="Y18" s="3514"/>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14"/>
      <c r="Q19" s="1334" t="str">
        <f t="shared" ref="Q19:Q33" si="8">B19</f>
        <v>区域土地利用方向</v>
      </c>
      <c r="R19" s="631" t="s">
        <v>25</v>
      </c>
      <c r="S19" s="632">
        <f>F19</f>
        <v>100</v>
      </c>
      <c r="T19" s="631" t="s">
        <v>25</v>
      </c>
      <c r="U19" s="632">
        <f>H19</f>
        <v>100</v>
      </c>
      <c r="V19" s="631" t="s">
        <v>25</v>
      </c>
      <c r="W19" s="632">
        <f>J19</f>
        <v>100</v>
      </c>
      <c r="X19" s="1335"/>
      <c r="Y19" s="351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14"/>
      <c r="Q20" s="1334"/>
      <c r="R20" s="631"/>
      <c r="S20" s="632"/>
      <c r="T20" s="631"/>
      <c r="U20" s="632"/>
      <c r="V20" s="631"/>
      <c r="W20" s="632"/>
      <c r="X20" s="1335"/>
      <c r="Y20" s="3514"/>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14"/>
      <c r="Q21" s="1334" t="str">
        <f t="shared" si="8"/>
        <v>环境状况</v>
      </c>
      <c r="R21" s="631" t="s">
        <v>25</v>
      </c>
      <c r="S21" s="632">
        <f>F21</f>
        <v>100</v>
      </c>
      <c r="T21" s="631" t="s">
        <v>25</v>
      </c>
      <c r="U21" s="632">
        <f>H21</f>
        <v>100</v>
      </c>
      <c r="V21" s="631" t="s">
        <v>25</v>
      </c>
      <c r="W21" s="632">
        <f>J21</f>
        <v>100</v>
      </c>
      <c r="X21" s="1335"/>
      <c r="Y21" s="351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14"/>
      <c r="Q22" s="1334"/>
      <c r="R22" s="631"/>
      <c r="S22" s="632"/>
      <c r="T22" s="631"/>
      <c r="U22" s="632"/>
      <c r="V22" s="631"/>
      <c r="W22" s="632"/>
      <c r="X22" s="1335"/>
      <c r="Y22" s="3514"/>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14"/>
      <c r="Q23" s="1327" t="str">
        <f t="shared" si="8"/>
        <v>公共配套设施</v>
      </c>
      <c r="R23" s="627" t="s">
        <v>25</v>
      </c>
      <c r="S23" s="628">
        <f>F23</f>
        <v>100</v>
      </c>
      <c r="T23" s="627" t="s">
        <v>25</v>
      </c>
      <c r="U23" s="628">
        <f>H23</f>
        <v>100</v>
      </c>
      <c r="V23" s="627" t="s">
        <v>25</v>
      </c>
      <c r="W23" s="628">
        <f>J23</f>
        <v>100</v>
      </c>
      <c r="X23" s="629"/>
      <c r="Y23" s="351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14"/>
      <c r="Q24" s="1327"/>
      <c r="R24" s="627"/>
      <c r="S24" s="628"/>
      <c r="T24" s="627"/>
      <c r="U24" s="628"/>
      <c r="V24" s="627"/>
      <c r="W24" s="628"/>
      <c r="X24" s="629"/>
      <c r="Y24" s="3514"/>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14"/>
      <c r="Q25" s="1327" t="str">
        <f t="shared" ref="Q25" si="9">B25</f>
        <v>基础设施水平</v>
      </c>
      <c r="R25" s="627" t="s">
        <v>25</v>
      </c>
      <c r="S25" s="628">
        <f>F25</f>
        <v>100</v>
      </c>
      <c r="T25" s="627" t="s">
        <v>25</v>
      </c>
      <c r="U25" s="628">
        <f>H25</f>
        <v>100</v>
      </c>
      <c r="V25" s="627" t="s">
        <v>25</v>
      </c>
      <c r="W25" s="628">
        <f>J25</f>
        <v>100</v>
      </c>
      <c r="X25" s="629"/>
      <c r="Y25" s="351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14"/>
      <c r="Q26" s="1327"/>
      <c r="R26" s="627"/>
      <c r="S26" s="628"/>
      <c r="T26" s="627"/>
      <c r="U26" s="628"/>
      <c r="V26" s="627"/>
      <c r="W26" s="628"/>
      <c r="X26" s="629"/>
      <c r="Y26" s="3514"/>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1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4"/>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14"/>
      <c r="Q28" s="1334" t="str">
        <f t="shared" si="8"/>
        <v>毗邻道路的类型与等级</v>
      </c>
      <c r="R28" s="631" t="s">
        <v>25</v>
      </c>
      <c r="S28" s="632">
        <f t="shared" si="10"/>
        <v>100</v>
      </c>
      <c r="T28" s="631" t="s">
        <v>25</v>
      </c>
      <c r="U28" s="632">
        <f t="shared" si="11"/>
        <v>100</v>
      </c>
      <c r="V28" s="631" t="s">
        <v>25</v>
      </c>
      <c r="W28" s="632">
        <f t="shared" si="12"/>
        <v>100</v>
      </c>
      <c r="X28" s="1335"/>
      <c r="Y28" s="351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14"/>
      <c r="Q29" s="1334"/>
      <c r="R29" s="631"/>
      <c r="S29" s="632"/>
      <c r="T29" s="631"/>
      <c r="U29" s="632"/>
      <c r="V29" s="631"/>
      <c r="W29" s="632"/>
      <c r="X29" s="1335"/>
      <c r="Y29" s="3514"/>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14"/>
      <c r="Q30" s="1334" t="str">
        <f t="shared" si="8"/>
        <v>土地级别</v>
      </c>
      <c r="R30" s="631" t="s">
        <v>25</v>
      </c>
      <c r="S30" s="632">
        <f t="shared" si="10"/>
        <v>100</v>
      </c>
      <c r="T30" s="631" t="s">
        <v>25</v>
      </c>
      <c r="U30" s="632">
        <f t="shared" si="11"/>
        <v>100</v>
      </c>
      <c r="V30" s="631" t="s">
        <v>25</v>
      </c>
      <c r="W30" s="632">
        <f t="shared" si="12"/>
        <v>100</v>
      </c>
      <c r="X30" s="1335"/>
      <c r="Y30" s="351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14"/>
      <c r="Q31" s="1334">
        <f t="shared" si="8"/>
        <v>111</v>
      </c>
      <c r="R31" s="631" t="s">
        <v>25</v>
      </c>
      <c r="S31" s="632">
        <f t="shared" si="10"/>
        <v>100</v>
      </c>
      <c r="T31" s="631" t="s">
        <v>25</v>
      </c>
      <c r="U31" s="632">
        <f t="shared" si="11"/>
        <v>100</v>
      </c>
      <c r="V31" s="631" t="s">
        <v>25</v>
      </c>
      <c r="W31" s="632">
        <f t="shared" si="12"/>
        <v>100</v>
      </c>
      <c r="X31" s="1335"/>
      <c r="Y31" s="351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16" t="s">
        <v>2284</v>
      </c>
      <c r="Q32" s="1334">
        <f t="shared" si="8"/>
        <v>111</v>
      </c>
      <c r="R32" s="631" t="s">
        <v>25</v>
      </c>
      <c r="S32" s="632">
        <f t="shared" si="10"/>
        <v>100</v>
      </c>
      <c r="T32" s="631" t="s">
        <v>25</v>
      </c>
      <c r="U32" s="632">
        <f t="shared" si="11"/>
        <v>100</v>
      </c>
      <c r="V32" s="631" t="s">
        <v>25</v>
      </c>
      <c r="W32" s="632">
        <f t="shared" si="12"/>
        <v>100</v>
      </c>
      <c r="X32" s="1335"/>
      <c r="Y32" s="3517"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17"/>
      <c r="Q33" s="1334">
        <f t="shared" si="8"/>
        <v>111</v>
      </c>
      <c r="R33" s="634" t="s">
        <v>25</v>
      </c>
      <c r="S33" s="635">
        <f t="shared" si="10"/>
        <v>100</v>
      </c>
      <c r="T33" s="634" t="s">
        <v>25</v>
      </c>
      <c r="U33" s="635">
        <f t="shared" si="11"/>
        <v>100</v>
      </c>
      <c r="V33" s="634" t="s">
        <v>25</v>
      </c>
      <c r="W33" s="635">
        <f t="shared" si="12"/>
        <v>100</v>
      </c>
      <c r="X33" s="636"/>
      <c r="Y33" s="3517"/>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17"/>
      <c r="Q34" s="1334" t="str">
        <f>B34</f>
        <v>宗地面积</v>
      </c>
      <c r="R34" s="631" t="s">
        <v>25</v>
      </c>
      <c r="S34" s="632" t="e">
        <f t="shared" si="10"/>
        <v>#N/A</v>
      </c>
      <c r="T34" s="631" t="s">
        <v>25</v>
      </c>
      <c r="U34" s="632" t="e">
        <f t="shared" si="11"/>
        <v>#N/A</v>
      </c>
      <c r="V34" s="631" t="s">
        <v>25</v>
      </c>
      <c r="W34" s="632" t="e">
        <f t="shared" si="12"/>
        <v>#N/A</v>
      </c>
      <c r="X34" s="1335"/>
      <c r="Y34" s="3517"/>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17"/>
      <c r="Q35" s="1334" t="str">
        <f t="shared" ref="Q35:Q40" si="14">B35</f>
        <v>宗地形状</v>
      </c>
      <c r="R35" s="631" t="s">
        <v>25</v>
      </c>
      <c r="S35" s="632">
        <f t="shared" si="10"/>
        <v>100</v>
      </c>
      <c r="T35" s="631" t="s">
        <v>25</v>
      </c>
      <c r="U35" s="632">
        <f t="shared" si="11"/>
        <v>100</v>
      </c>
      <c r="V35" s="631" t="s">
        <v>25</v>
      </c>
      <c r="W35" s="632">
        <f t="shared" si="12"/>
        <v>100</v>
      </c>
      <c r="X35" s="1335"/>
      <c r="Y35" s="3517"/>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17"/>
      <c r="Q36" s="1334" t="str">
        <f t="shared" si="14"/>
        <v>宗地开发程度</v>
      </c>
      <c r="R36" s="627" t="s">
        <v>25</v>
      </c>
      <c r="S36" s="628">
        <f t="shared" si="10"/>
        <v>100</v>
      </c>
      <c r="T36" s="627" t="s">
        <v>25</v>
      </c>
      <c r="U36" s="628">
        <f t="shared" si="11"/>
        <v>100</v>
      </c>
      <c r="V36" s="627" t="s">
        <v>25</v>
      </c>
      <c r="W36" s="628">
        <f t="shared" si="12"/>
        <v>100</v>
      </c>
      <c r="X36" s="629"/>
      <c r="Y36" s="3517"/>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17" t="s">
        <v>2284</v>
      </c>
      <c r="Q37" s="1334" t="str">
        <f t="shared" si="14"/>
        <v>工程地质条件</v>
      </c>
      <c r="R37" s="631" t="s">
        <v>25</v>
      </c>
      <c r="S37" s="632">
        <f t="shared" si="10"/>
        <v>100</v>
      </c>
      <c r="T37" s="631" t="s">
        <v>25</v>
      </c>
      <c r="U37" s="632">
        <f t="shared" si="11"/>
        <v>100</v>
      </c>
      <c r="V37" s="631" t="s">
        <v>25</v>
      </c>
      <c r="W37" s="632">
        <f t="shared" si="12"/>
        <v>100</v>
      </c>
      <c r="X37" s="1335"/>
      <c r="Y37" s="351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17"/>
      <c r="Q38" s="1334">
        <f t="shared" si="14"/>
        <v>111</v>
      </c>
      <c r="R38" s="631" t="s">
        <v>25</v>
      </c>
      <c r="S38" s="632">
        <f t="shared" si="10"/>
        <v>100</v>
      </c>
      <c r="T38" s="631" t="s">
        <v>25</v>
      </c>
      <c r="U38" s="632">
        <f t="shared" si="11"/>
        <v>100</v>
      </c>
      <c r="V38" s="631" t="s">
        <v>25</v>
      </c>
      <c r="W38" s="632">
        <f t="shared" si="12"/>
        <v>100</v>
      </c>
      <c r="X38" s="1335"/>
      <c r="Y38" s="351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17"/>
      <c r="Q39" s="1334">
        <f t="shared" si="14"/>
        <v>111</v>
      </c>
      <c r="R39" s="631" t="s">
        <v>25</v>
      </c>
      <c r="S39" s="632">
        <f t="shared" si="10"/>
        <v>100</v>
      </c>
      <c r="T39" s="631" t="s">
        <v>25</v>
      </c>
      <c r="U39" s="632">
        <f t="shared" si="11"/>
        <v>100</v>
      </c>
      <c r="V39" s="631" t="s">
        <v>25</v>
      </c>
      <c r="W39" s="632">
        <f t="shared" si="12"/>
        <v>100</v>
      </c>
      <c r="X39" s="1335"/>
      <c r="Y39" s="3517"/>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17"/>
      <c r="Q40" s="1334">
        <f t="shared" si="14"/>
        <v>111</v>
      </c>
      <c r="R40" s="634" t="s">
        <v>25</v>
      </c>
      <c r="S40" s="635">
        <f t="shared" si="10"/>
        <v>100</v>
      </c>
      <c r="T40" s="634" t="s">
        <v>25</v>
      </c>
      <c r="U40" s="635">
        <f t="shared" si="11"/>
        <v>100</v>
      </c>
      <c r="V40" s="634" t="s">
        <v>25</v>
      </c>
      <c r="W40" s="635">
        <f t="shared" si="12"/>
        <v>100</v>
      </c>
      <c r="X40" s="636"/>
      <c r="Y40" s="3517"/>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485" t="str">
        <f>A41</f>
        <v>成交单价</v>
      </c>
      <c r="Q41" s="3485"/>
      <c r="R41" s="3509">
        <f>E41</f>
        <v>0</v>
      </c>
      <c r="S41" s="3509"/>
      <c r="T41" s="3509">
        <f>G41</f>
        <v>0</v>
      </c>
      <c r="U41" s="3509"/>
      <c r="V41" s="3509">
        <f>I41</f>
        <v>0</v>
      </c>
      <c r="W41" s="3509"/>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485" t="str">
        <f>A42</f>
        <v>比较价值（元/平方米）</v>
      </c>
      <c r="Q42" s="3485"/>
      <c r="R42" s="3526" t="e">
        <f>ROUND(PRODUCT(R41,AA7:AA40),0)</f>
        <v>#DIV/0!</v>
      </c>
      <c r="S42" s="3526"/>
      <c r="T42" s="3526" t="e">
        <f>ROUND(PRODUCT(T41,AB7:AB40),0)</f>
        <v>#DIV/0!</v>
      </c>
      <c r="U42" s="3526"/>
      <c r="V42" s="3526" t="e">
        <f>ROUND(PRODUCT(V41,AC7:AC40),0)</f>
        <v>#DIV/0!</v>
      </c>
      <c r="W42" s="3526"/>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20" t="str">
        <f>A43</f>
        <v>估价对象XX用房的比较价值（楼面单价，元/平方米）</v>
      </c>
      <c r="Q43" s="3521"/>
      <c r="R43" s="3525" t="e">
        <f>ROUND(IF(D42="简单平均",AVERAGE(R42:W42),R42*F42+T42*H42+V42*J42),0)</f>
        <v>#DIV/0!</v>
      </c>
      <c r="S43" s="3525"/>
      <c r="T43" s="3525"/>
      <c r="U43" s="3525"/>
      <c r="V43" s="3525"/>
      <c r="W43" s="3525"/>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2024-8-1</v>
      </c>
      <c r="D63" s="1182">
        <f>EDATE(C63,-3)</f>
        <v>45413</v>
      </c>
      <c r="E63" s="1182">
        <f t="shared" ref="E63:O63" si="18">EDATE(D63,-3)</f>
        <v>45323</v>
      </c>
      <c r="F63" s="1182">
        <f t="shared" si="18"/>
        <v>45231</v>
      </c>
      <c r="G63" s="1182">
        <f t="shared" si="18"/>
        <v>45139</v>
      </c>
      <c r="H63" s="1182">
        <f t="shared" si="18"/>
        <v>45047</v>
      </c>
      <c r="I63" s="1182">
        <f t="shared" si="18"/>
        <v>44958</v>
      </c>
      <c r="J63" s="1182">
        <f t="shared" si="18"/>
        <v>44866</v>
      </c>
      <c r="K63" s="1182">
        <f t="shared" si="18"/>
        <v>44774</v>
      </c>
      <c r="L63" s="1182">
        <f t="shared" si="18"/>
        <v>44682</v>
      </c>
      <c r="M63" s="1182">
        <f t="shared" si="18"/>
        <v>44593</v>
      </c>
      <c r="N63" s="1182">
        <f t="shared" si="18"/>
        <v>44501</v>
      </c>
      <c r="O63" s="1182">
        <f t="shared" si="18"/>
        <v>44409</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2024-3</v>
      </c>
      <c r="D65" s="1183" t="str">
        <f t="shared" ref="D65:O65" si="19">YEAR(D63)&amp;"-"&amp;ROUNDUP(MONTH(D63)/3,0)</f>
        <v>2024-2</v>
      </c>
      <c r="E65" s="1183" t="str">
        <f t="shared" si="19"/>
        <v>2024-1</v>
      </c>
      <c r="F65" s="1183" t="str">
        <f t="shared" si="19"/>
        <v>2023-4</v>
      </c>
      <c r="G65" s="1183" t="str">
        <f t="shared" si="19"/>
        <v>2023-3</v>
      </c>
      <c r="H65" s="1183" t="str">
        <f t="shared" si="19"/>
        <v>2023-2</v>
      </c>
      <c r="I65" s="1183" t="str">
        <f t="shared" si="19"/>
        <v>2023-1</v>
      </c>
      <c r="J65" s="1183" t="str">
        <f t="shared" si="19"/>
        <v>2022-4</v>
      </c>
      <c r="K65" s="1183" t="str">
        <f t="shared" si="19"/>
        <v>2022-3</v>
      </c>
      <c r="L65" s="1183" t="str">
        <f t="shared" si="19"/>
        <v>2022-2</v>
      </c>
      <c r="M65" s="1183" t="str">
        <f t="shared" si="19"/>
        <v>2022-1</v>
      </c>
      <c r="N65" s="1183" t="str">
        <f t="shared" si="19"/>
        <v>2021-4</v>
      </c>
      <c r="O65" s="1183" t="str">
        <f t="shared" si="19"/>
        <v>2021-3</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44"/>
      <c r="B4" s="3545"/>
      <c r="C4" s="3545"/>
      <c r="D4" s="3546"/>
      <c r="E4" s="3546"/>
      <c r="F4" s="3546"/>
      <c r="G4" s="3546"/>
      <c r="H4" s="3546"/>
      <c r="I4" s="3546"/>
      <c r="J4" s="3547"/>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48"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49"/>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42" t="s">
        <v>2539</v>
      </c>
      <c r="X8" s="3543"/>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49"/>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43"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49"/>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43"/>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49"/>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43"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548"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43"/>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50"/>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43"/>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50"/>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551"/>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27" t="b">
        <f>IF(E2="办公",2,IF(E2="工业",2,IF(E2="住宅",3,IF(E2="商业",IF(C8="不临58条商业街",2,3)))))</f>
        <v>0</v>
      </c>
      <c r="B16" s="1631" t="s">
        <v>2585</v>
      </c>
      <c r="C16" s="1607" t="e">
        <f>ROUND(IF(F17="与级别开发程度一致",0,(G17-E17)/C17),0)</f>
        <v>#DIV/0!</v>
      </c>
      <c r="D16" s="3540" t="s">
        <v>2589</v>
      </c>
      <c r="E16" s="3541"/>
      <c r="F16" s="3540" t="s">
        <v>2586</v>
      </c>
      <c r="G16" s="3541"/>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528"/>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45513</v>
      </c>
      <c r="H19" s="2192" t="s">
        <v>2733</v>
      </c>
      <c r="I19" s="2193" t="str">
        <f>IF(H19="季度增幅（自定义）",SUMIF(N21:N24,E2,O21:O24),"")</f>
        <v/>
      </c>
      <c r="J19" s="2194"/>
      <c r="K19" s="3054"/>
      <c r="L19" s="2075" t="s">
        <v>2597</v>
      </c>
      <c r="M19" s="2195">
        <f>ROUND(SUMIF(地价!B2:F2,E2,地价!B32:F32),0)</f>
        <v>0</v>
      </c>
      <c r="N19" s="2196" t="s">
        <v>2598</v>
      </c>
      <c r="O19" s="2197">
        <f>ROUNDDOWN(DATEDIF(E19,G19,"M")/3,0)</f>
        <v>42</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37"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38"/>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38"/>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539"/>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118.8">
      <c r="A49" s="2279" t="s">
        <v>2662</v>
      </c>
      <c r="B49" s="2291" t="str">
        <f>估价对象房地状况!C18</f>
        <v>估价对象周边有专98路、33路、快速直达专线83、481路、507路、632路、85路、40路等多条公交线路，距地铁6号线（慈寿寺）约小于1公里，综合评价交通便捷度较好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4">
      <c r="A52" s="2279" t="s">
        <v>2666</v>
      </c>
      <c r="B52" s="2291">
        <f>估价对象房地状况!C24</f>
        <v>0</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66.599999999999994" thickBot="1">
      <c r="A56" s="2297" t="s">
        <v>2671</v>
      </c>
      <c r="B56" s="2298" t="str">
        <f>估价对象房地状况!C20</f>
        <v>区域自然环境：玲珑公园、京密引水渠；人文环境：宝联体育公园等；综合评价环境状况较好</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118.8">
      <c r="A60" s="2279" t="s">
        <v>2662</v>
      </c>
      <c r="B60" s="2291" t="str">
        <f>估价对象房地状况!C18</f>
        <v>估价对象周边有专98路、33路、快速直达专线83、481路、507路、632路、85路、40路等多条公交线路，距地铁6号线（慈寿寺）约小于1公里，综合评价交通便捷度较好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4">
      <c r="A63" s="2279" t="s">
        <v>2666</v>
      </c>
      <c r="B63" s="2291">
        <f>估价对象房地状况!C24</f>
        <v>0</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66.599999999999994" thickBot="1">
      <c r="A67" s="2297" t="s">
        <v>2671</v>
      </c>
      <c r="B67" s="2302" t="str">
        <f>估价对象房地状况!C20</f>
        <v>区域自然环境：玲珑公园、京密引水渠；人文环境：宝联体育公园等；综合评价环境状况较好</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估价对象周边有颐慧佳园、玲珑花园、玫瑰御园等社区，综合评价居住社区成熟度较好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118.8">
      <c r="A71" s="2279" t="s">
        <v>2662</v>
      </c>
      <c r="B71" s="2291" t="str">
        <f>估价对象房地状况!C18</f>
        <v>估价对象周边有专98路、33路、快速直达专线83、481路、507路、632路、85路、40路等多条公交线路，距地铁6号线（慈寿寺）约小于1公里，综合评价交通便捷度较好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3.8">
      <c r="A73" s="2279" t="s">
        <v>2679</v>
      </c>
      <c r="B73" s="2291">
        <f>估价对象房地状况!C24</f>
        <v>0</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66">
      <c r="A77" s="2279" t="s">
        <v>2671</v>
      </c>
      <c r="B77" s="2283" t="str">
        <f>估价对象房地状况!C20</f>
        <v>区域自然环境：玲珑公园、京密引水渠；人文环境：宝联体育公园等；综合评价环境状况较好</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29" t="s">
        <v>2684</v>
      </c>
      <c r="B90" s="3529"/>
      <c r="C90" s="3529"/>
      <c r="D90" s="3529"/>
      <c r="E90" s="3529"/>
      <c r="F90" s="3529"/>
      <c r="G90" s="3529"/>
      <c r="H90" s="3529"/>
      <c r="I90" s="3529"/>
      <c r="J90" s="3529"/>
      <c r="K90" s="2307"/>
      <c r="L90" s="2307"/>
      <c r="M90" s="2307"/>
      <c r="N90" s="2307"/>
      <c r="Q90" s="3060"/>
      <c r="R90" s="3060"/>
      <c r="S90" s="3060"/>
      <c r="T90" s="3060"/>
      <c r="U90" s="3060"/>
      <c r="V90" s="3060"/>
      <c r="W90" s="3060"/>
    </row>
    <row r="91" spans="1:33">
      <c r="A91" s="3531" t="s">
        <v>2685</v>
      </c>
      <c r="B91" s="3531"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31"/>
      <c r="B92" s="3531"/>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32"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33"/>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33"/>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33"/>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33"/>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33"/>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33"/>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34"/>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32"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33"/>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33"/>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33"/>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33"/>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33"/>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33"/>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33"/>
      <c r="B108" s="3535"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34"/>
      <c r="B109" s="3536"/>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30" t="s">
        <v>2692</v>
      </c>
      <c r="B110" s="3530"/>
      <c r="C110" s="3530"/>
      <c r="D110" s="3530"/>
      <c r="E110" s="3530"/>
      <c r="F110" s="3530"/>
      <c r="G110" s="3530"/>
      <c r="H110" s="3530"/>
      <c r="I110" s="3530"/>
      <c r="J110" s="3530"/>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552" t="s">
        <v>779</v>
      </c>
      <c r="B1" s="3552"/>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48">
      <c r="A5" s="681" t="s">
        <v>714</v>
      </c>
      <c r="B5" s="692" t="str">
        <f>估价对象房地状况!C6</f>
        <v>估价对象周边有专98路、33路、快速直达专线83、481路、507路、632路、85路、40路等多条公交线路，距地铁6号线（慈寿寺）约小于1公里，综合评价交通便捷度较好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区域自然环境：玲珑公园、京密引水渠；人文环境：宝联体育公园等；综合评价环境状况较好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48">
      <c r="A16" s="681" t="s">
        <v>714</v>
      </c>
      <c r="B16" s="682" t="str">
        <f>估价对象房地状况!C6</f>
        <v>估价对象周边有专98路、33路、快速直达专线83、481路、507路、632路、85路、40路等多条公交线路，距地铁6号线（慈寿寺）约小于1公里，综合评价交通便捷度较好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区域自然环境：玲珑公园、京密引水渠；人文环境：宝联体育公园等；综合评价环境状况较好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估价对象周边有颐慧佳园、玲珑花园、玫瑰御园等社区，综合评价居住社区成熟度较好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48">
      <c r="A27" s="681" t="s">
        <v>714</v>
      </c>
      <c r="B27" s="682" t="str">
        <f>估价对象房地状况!C6</f>
        <v>估价对象周边有专98路、33路、快速直达专线83、481路、507路、632路、85路、40路等多条公交线路，距地铁6号线（慈寿寺）约小于1公里，综合评价交通便捷度较好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区域自然环境：玲珑公园、京密引水渠；人文环境：宝联体育公园等；综合评价环境状况较好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56" t="s">
        <v>571</v>
      </c>
      <c r="C61" s="682" t="s">
        <v>572</v>
      </c>
      <c r="D61" s="682" t="s">
        <v>573</v>
      </c>
      <c r="E61" s="781">
        <v>0.5</v>
      </c>
      <c r="F61" s="768">
        <v>80</v>
      </c>
    </row>
    <row r="62" spans="1:8" s="764" customFormat="1" ht="36">
      <c r="A62" s="768">
        <v>2</v>
      </c>
      <c r="B62" s="3556"/>
      <c r="C62" s="682" t="s">
        <v>574</v>
      </c>
      <c r="D62" s="682" t="s">
        <v>575</v>
      </c>
      <c r="E62" s="781">
        <v>0.5</v>
      </c>
      <c r="F62" s="768">
        <v>80</v>
      </c>
    </row>
    <row r="63" spans="1:8" s="764" customFormat="1" ht="48">
      <c r="A63" s="768">
        <v>3</v>
      </c>
      <c r="B63" s="3556"/>
      <c r="C63" s="682" t="s">
        <v>576</v>
      </c>
      <c r="D63" s="682" t="s">
        <v>577</v>
      </c>
      <c r="E63" s="781">
        <v>0.5</v>
      </c>
      <c r="F63" s="768">
        <v>80</v>
      </c>
    </row>
    <row r="64" spans="1:8" s="764" customFormat="1" ht="48">
      <c r="A64" s="768">
        <v>4</v>
      </c>
      <c r="B64" s="3556"/>
      <c r="C64" s="682" t="s">
        <v>578</v>
      </c>
      <c r="D64" s="682" t="s">
        <v>579</v>
      </c>
      <c r="E64" s="781">
        <v>0.4</v>
      </c>
      <c r="F64" s="768">
        <v>60</v>
      </c>
    </row>
    <row r="65" spans="1:6" s="764" customFormat="1" ht="48">
      <c r="A65" s="768">
        <v>5</v>
      </c>
      <c r="B65" s="3556"/>
      <c r="C65" s="682" t="s">
        <v>580</v>
      </c>
      <c r="D65" s="682" t="s">
        <v>581</v>
      </c>
      <c r="E65" s="781">
        <v>0.2</v>
      </c>
      <c r="F65" s="768">
        <v>30</v>
      </c>
    </row>
    <row r="66" spans="1:6" s="764" customFormat="1" ht="48">
      <c r="A66" s="768">
        <v>6</v>
      </c>
      <c r="B66" s="3556"/>
      <c r="C66" s="682" t="s">
        <v>582</v>
      </c>
      <c r="D66" s="682" t="s">
        <v>583</v>
      </c>
      <c r="E66" s="781">
        <v>0.3</v>
      </c>
      <c r="F66" s="768">
        <v>50</v>
      </c>
    </row>
    <row r="67" spans="1:6" s="764" customFormat="1" ht="48">
      <c r="A67" s="768">
        <v>7</v>
      </c>
      <c r="B67" s="3556"/>
      <c r="C67" s="682" t="s">
        <v>584</v>
      </c>
      <c r="D67" s="682" t="s">
        <v>585</v>
      </c>
      <c r="E67" s="781">
        <v>0.2</v>
      </c>
      <c r="F67" s="768">
        <v>30</v>
      </c>
    </row>
    <row r="68" spans="1:6" s="764" customFormat="1" ht="48">
      <c r="A68" s="768">
        <v>8</v>
      </c>
      <c r="B68" s="3556"/>
      <c r="C68" s="682" t="s">
        <v>586</v>
      </c>
      <c r="D68" s="682" t="s">
        <v>587</v>
      </c>
      <c r="E68" s="781">
        <v>0.2</v>
      </c>
      <c r="F68" s="768">
        <v>30</v>
      </c>
    </row>
    <row r="69" spans="1:6" s="764" customFormat="1" ht="48">
      <c r="A69" s="768">
        <v>9</v>
      </c>
      <c r="B69" s="3556"/>
      <c r="C69" s="682" t="s">
        <v>588</v>
      </c>
      <c r="D69" s="682" t="s">
        <v>589</v>
      </c>
      <c r="E69" s="781">
        <v>0.2</v>
      </c>
      <c r="F69" s="768">
        <v>30</v>
      </c>
    </row>
    <row r="70" spans="1:6" s="764" customFormat="1" ht="60">
      <c r="A70" s="768">
        <v>10</v>
      </c>
      <c r="B70" s="3556"/>
      <c r="C70" s="682" t="s">
        <v>590</v>
      </c>
      <c r="D70" s="682" t="s">
        <v>591</v>
      </c>
      <c r="E70" s="781">
        <v>0.2</v>
      </c>
      <c r="F70" s="768">
        <v>30</v>
      </c>
    </row>
    <row r="71" spans="1:6" s="764" customFormat="1" ht="60">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36">
      <c r="A73" s="768">
        <v>13</v>
      </c>
      <c r="B73" s="3556"/>
      <c r="C73" s="682" t="s">
        <v>596</v>
      </c>
      <c r="D73" s="682" t="s">
        <v>597</v>
      </c>
      <c r="E73" s="781">
        <v>0.4</v>
      </c>
      <c r="F73" s="768">
        <v>60</v>
      </c>
    </row>
    <row r="74" spans="1:6" s="764" customFormat="1" ht="36">
      <c r="A74" s="768">
        <v>14</v>
      </c>
      <c r="B74" s="3556"/>
      <c r="C74" s="682" t="s">
        <v>598</v>
      </c>
      <c r="D74" s="682" t="s">
        <v>599</v>
      </c>
      <c r="E74" s="781">
        <v>0.2</v>
      </c>
      <c r="F74" s="768">
        <v>30</v>
      </c>
    </row>
    <row r="75" spans="1:6" s="764" customFormat="1" ht="36">
      <c r="A75" s="768">
        <v>15</v>
      </c>
      <c r="B75" s="3556"/>
      <c r="C75" s="682" t="s">
        <v>600</v>
      </c>
      <c r="D75" s="682" t="s">
        <v>601</v>
      </c>
      <c r="E75" s="781">
        <v>0.2</v>
      </c>
      <c r="F75" s="768">
        <v>30</v>
      </c>
    </row>
    <row r="76" spans="1:6" s="764" customFormat="1" ht="36">
      <c r="A76" s="768">
        <v>16</v>
      </c>
      <c r="B76" s="3556" t="s">
        <v>602</v>
      </c>
      <c r="C76" s="682" t="s">
        <v>603</v>
      </c>
      <c r="D76" s="682" t="s">
        <v>604</v>
      </c>
      <c r="E76" s="781">
        <v>0.5</v>
      </c>
      <c r="F76" s="768">
        <v>80</v>
      </c>
    </row>
    <row r="77" spans="1:6" s="764" customFormat="1" ht="36">
      <c r="A77" s="768">
        <v>17</v>
      </c>
      <c r="B77" s="3556"/>
      <c r="C77" s="682" t="s">
        <v>605</v>
      </c>
      <c r="D77" s="682" t="s">
        <v>606</v>
      </c>
      <c r="E77" s="781">
        <v>0.5</v>
      </c>
      <c r="F77" s="768">
        <v>80</v>
      </c>
    </row>
    <row r="78" spans="1:6" s="764" customFormat="1" ht="36">
      <c r="A78" s="768">
        <v>18</v>
      </c>
      <c r="B78" s="3556"/>
      <c r="C78" s="682" t="s">
        <v>607</v>
      </c>
      <c r="D78" s="682" t="s">
        <v>608</v>
      </c>
      <c r="E78" s="781">
        <v>0.2</v>
      </c>
      <c r="F78" s="768">
        <v>30</v>
      </c>
    </row>
    <row r="79" spans="1:6" s="764" customFormat="1" ht="36">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60">
      <c r="A82" s="768">
        <v>22</v>
      </c>
      <c r="B82" s="3556"/>
      <c r="C82" s="682" t="s">
        <v>615</v>
      </c>
      <c r="D82" s="682" t="s">
        <v>616</v>
      </c>
      <c r="E82" s="781">
        <v>0.2</v>
      </c>
      <c r="F82" s="768">
        <v>30</v>
      </c>
    </row>
    <row r="83" spans="1:6" s="764" customFormat="1" ht="60">
      <c r="A83" s="768">
        <v>23</v>
      </c>
      <c r="B83" s="3556"/>
      <c r="C83" s="682" t="s">
        <v>617</v>
      </c>
      <c r="D83" s="682" t="s">
        <v>618</v>
      </c>
      <c r="E83" s="781">
        <v>0.2</v>
      </c>
      <c r="F83" s="768">
        <v>30</v>
      </c>
    </row>
    <row r="84" spans="1:6" s="764" customFormat="1" ht="48">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36">
      <c r="A89" s="768">
        <v>29</v>
      </c>
      <c r="B89" s="3556"/>
      <c r="C89" s="682" t="s">
        <v>629</v>
      </c>
      <c r="D89" s="682" t="s">
        <v>630</v>
      </c>
      <c r="E89" s="781">
        <v>0.2</v>
      </c>
      <c r="F89" s="768">
        <v>30</v>
      </c>
    </row>
    <row r="90" spans="1:6" s="764" customFormat="1" ht="36">
      <c r="A90" s="768">
        <v>30</v>
      </c>
      <c r="B90" s="3556"/>
      <c r="C90" s="682" t="s">
        <v>631</v>
      </c>
      <c r="D90" s="682" t="s">
        <v>632</v>
      </c>
      <c r="E90" s="781">
        <v>0.2</v>
      </c>
      <c r="F90" s="768">
        <v>30</v>
      </c>
    </row>
    <row r="91" spans="1:6" s="764" customFormat="1" ht="48">
      <c r="A91" s="768">
        <v>31</v>
      </c>
      <c r="B91" s="3556"/>
      <c r="C91" s="682" t="s">
        <v>633</v>
      </c>
      <c r="D91" s="682" t="s">
        <v>634</v>
      </c>
      <c r="E91" s="781">
        <v>0.2</v>
      </c>
      <c r="F91" s="768">
        <v>30</v>
      </c>
    </row>
    <row r="92" spans="1:6" s="764" customFormat="1" ht="36">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60">
      <c r="A94" s="768">
        <v>34</v>
      </c>
      <c r="B94" s="3556"/>
      <c r="C94" s="768" t="s">
        <v>640</v>
      </c>
      <c r="D94" s="682" t="s">
        <v>641</v>
      </c>
      <c r="E94" s="781">
        <v>0.2</v>
      </c>
      <c r="F94" s="768">
        <v>30</v>
      </c>
    </row>
    <row r="95" spans="1:6" s="764" customFormat="1" ht="48">
      <c r="A95" s="768">
        <v>35</v>
      </c>
      <c r="B95" s="3556"/>
      <c r="C95" s="768" t="s">
        <v>642</v>
      </c>
      <c r="D95" s="682" t="s">
        <v>643</v>
      </c>
      <c r="E95" s="781">
        <v>0.2</v>
      </c>
      <c r="F95" s="768">
        <v>30</v>
      </c>
    </row>
    <row r="96" spans="1:6" s="764" customFormat="1" ht="72">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36">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56" t="s">
        <v>665</v>
      </c>
      <c r="C105" s="768" t="s">
        <v>666</v>
      </c>
      <c r="D105" s="682" t="s">
        <v>667</v>
      </c>
      <c r="E105" s="781">
        <v>0.2</v>
      </c>
      <c r="F105" s="768">
        <v>30</v>
      </c>
    </row>
    <row r="106" spans="1:6" s="764" customFormat="1" ht="48">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48">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56" t="s">
        <v>681</v>
      </c>
      <c r="C111" s="768" t="s">
        <v>682</v>
      </c>
      <c r="D111" s="682" t="s">
        <v>683</v>
      </c>
      <c r="E111" s="781">
        <v>0.2</v>
      </c>
      <c r="F111" s="768">
        <v>30</v>
      </c>
    </row>
    <row r="112" spans="1:6" s="764" customFormat="1" ht="36">
      <c r="A112" s="768">
        <v>52</v>
      </c>
      <c r="B112" s="3556"/>
      <c r="C112" s="768" t="s">
        <v>684</v>
      </c>
      <c r="D112" s="682" t="s">
        <v>685</v>
      </c>
      <c r="E112" s="781">
        <v>0.2</v>
      </c>
      <c r="F112" s="768">
        <v>30</v>
      </c>
    </row>
    <row r="113" spans="1:6" s="764" customFormat="1" ht="36">
      <c r="A113" s="768">
        <v>53</v>
      </c>
      <c r="B113" s="3556"/>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562" t="s">
        <v>1020</v>
      </c>
      <c r="C1" s="3562"/>
      <c r="D1" s="3562"/>
      <c r="E1" s="3562"/>
      <c r="F1" s="3562"/>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50">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58">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58"/>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58"/>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67"/>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563">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58"/>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58"/>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67"/>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63">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58"/>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58"/>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59"/>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557">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58"/>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58"/>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59"/>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557">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58"/>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58"/>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59"/>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564">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65"/>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65"/>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66"/>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557">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58"/>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58"/>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559"/>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557">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58">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58">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59">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557">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58">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58">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59">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557">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58">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58">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59">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557">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58">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58">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59">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557">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58">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58">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59">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557">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58">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58">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59">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557">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58">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58">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59">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557">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58">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58">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59">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557">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58">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58">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559">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557">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58">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58">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559">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9"/>
      <c r="C2" s="3169"/>
      <c r="D2" s="3169"/>
      <c r="E2" s="3169"/>
    </row>
    <row r="3" spans="1:5" ht="13.5" customHeight="1">
      <c r="A3" s="1362"/>
      <c r="B3" s="1362"/>
      <c r="C3" s="1362"/>
      <c r="D3" s="1362"/>
      <c r="E3" s="1362"/>
    </row>
    <row r="4" spans="1:5" ht="18" thickBot="1">
      <c r="A4" s="3170" t="str">
        <f>IF(项目基本情况!D5="房地产市场价值","估价结果一览表（市场价值不需本页表格)","估价结果一览表")</f>
        <v>估价结果一览表（市场价值不需本页表格)</v>
      </c>
      <c r="B4" s="3170"/>
      <c r="C4" s="3170"/>
      <c r="D4" s="3170"/>
      <c r="E4" s="3170"/>
    </row>
    <row r="5" spans="1:5" ht="14.25" customHeight="1" thickTop="1">
      <c r="A5" s="1359"/>
      <c r="B5" s="1363" t="s">
        <v>742</v>
      </c>
      <c r="C5" s="3171" t="s">
        <v>775</v>
      </c>
      <c r="D5" s="3172"/>
      <c r="E5" s="1359"/>
    </row>
    <row r="6" spans="1:5" ht="15.6">
      <c r="A6" s="1359"/>
      <c r="B6" s="1364" t="str">
        <f>项目基本情况!I1</f>
        <v>北京市房地产</v>
      </c>
      <c r="C6" s="3173">
        <f>项目基本情况!C12</f>
        <v>0</v>
      </c>
      <c r="D6" s="3173"/>
      <c r="E6" s="1359"/>
    </row>
    <row r="7" spans="1:5" ht="15.6">
      <c r="A7" s="1359"/>
      <c r="B7" s="3167" t="s">
        <v>776</v>
      </c>
      <c r="C7" s="1365" t="str">
        <f>IF('数据-取费表'!B3="万元","总价（万元）","总价（元）")</f>
        <v>总价（元）</v>
      </c>
      <c r="D7" s="1366" t="e">
        <f ca="1">IF('数据-取费表'!E3="否",结果表!I102,'结果表 (1修多)'!I104)</f>
        <v>#REF!</v>
      </c>
      <c r="E7" s="1359"/>
    </row>
    <row r="8" spans="1:5" ht="15.6">
      <c r="A8" s="1359"/>
      <c r="B8" s="3167"/>
      <c r="C8" s="1367" t="s">
        <v>1162</v>
      </c>
      <c r="D8" s="1368" t="e">
        <f ca="1">IF('数据-取费表'!B3="万元",NUMBERSTRING(INT(D7*10000),2)&amp;"元整",NUMBERSTRING(INT(D7),2)&amp;"元整")</f>
        <v>#REF!</v>
      </c>
      <c r="E8" s="1359"/>
    </row>
    <row r="9" spans="1:5" ht="15.6">
      <c r="A9" s="1359"/>
      <c r="B9" s="3167"/>
      <c r="C9" s="1369" t="s">
        <v>1259</v>
      </c>
      <c r="D9" s="1366" t="e">
        <f ca="1">IF('数据-取费表'!E3="否",结果表!I103,'结果表 (1修多)'!I105)</f>
        <v>#REF!</v>
      </c>
      <c r="E9" s="1359"/>
    </row>
    <row r="10" spans="1:5" ht="15.6">
      <c r="A10" s="1359"/>
      <c r="B10" s="317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174"/>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174" t="str">
        <f>IF('数据-取费表'!E3="否",结果表!F110,'结果表 (1修多)'!F112)</f>
        <v>3.房地产抵押价值</v>
      </c>
      <c r="C15" s="1360" t="str">
        <f>C7</f>
        <v>总价（元）</v>
      </c>
      <c r="D15" s="1366" t="e">
        <f ca="1">IF('数据-取费表'!E3="否",结果表!I110,'结果表 (1修多)'!I112)</f>
        <v>#REF!</v>
      </c>
      <c r="E15" s="1359"/>
    </row>
    <row r="16" spans="1:5" ht="15.6">
      <c r="A16" s="1359"/>
      <c r="B16" s="3174"/>
      <c r="C16" s="1367" t="s">
        <v>1162</v>
      </c>
      <c r="D16" s="1366" t="e">
        <f ca="1">IF('数据-取费表'!B3="万元",NUMBERSTRING(INT(D15*10000),2)&amp;"元整",NUMBERSTRING(INT(D15),2)&amp;"元整")</f>
        <v>#REF!</v>
      </c>
      <c r="E16" s="1359"/>
    </row>
    <row r="17" spans="1:5" ht="15.6">
      <c r="A17" s="1359"/>
      <c r="B17" s="3174"/>
      <c r="C17" s="1369" t="s">
        <v>1259</v>
      </c>
      <c r="D17" s="1366" t="e">
        <f ca="1">IF('数据-取费表'!E3="否",结果表!I111,'结果表 (1修多)'!I113)</f>
        <v>#REF!</v>
      </c>
      <c r="E17" s="1359"/>
    </row>
    <row r="18" spans="1:5" ht="15.6">
      <c r="A18" s="1359"/>
      <c r="B18" s="3174" t="str">
        <f>IF('数据-取费表'!E3="否",结果表!F112,'结果表 (1修多)'!F114)</f>
        <v>——</v>
      </c>
      <c r="C18" s="1360" t="str">
        <f>C7</f>
        <v>总价（元）</v>
      </c>
      <c r="D18" s="1366" t="str">
        <f>IF('数据-取费表'!E3="否",结果表!I112,'结果表 (1修多)'!I114)</f>
        <v>——</v>
      </c>
      <c r="E18" s="1359"/>
    </row>
    <row r="19" spans="1:5" ht="15.6">
      <c r="A19" s="1359"/>
      <c r="B19" s="3174"/>
      <c r="C19" s="1367" t="s">
        <v>1162</v>
      </c>
      <c r="D19" s="1366" t="e">
        <f>IF('数据-取费表'!B3="万元",NUMBERSTRING(INT(D18*10000),2)&amp;"元整",NUMBERSTRING(INT(D18),2)&amp;"元整")</f>
        <v>#VALUE!</v>
      </c>
      <c r="E19" s="1359"/>
    </row>
    <row r="20" spans="1:5" ht="15.6">
      <c r="A20" s="1359"/>
      <c r="B20" s="3174"/>
      <c r="C20" s="1369" t="s">
        <v>1259</v>
      </c>
      <c r="D20" s="1366" t="str">
        <f>IF('数据-取费表'!E3="否",结果表!I113,'结果表 (1修多)'!I115)</f>
        <v>——</v>
      </c>
      <c r="E20" s="1359"/>
    </row>
    <row r="21" spans="1:5" ht="15.6">
      <c r="A21" s="1359"/>
      <c r="B21" s="3167" t="str">
        <f>IF('数据-取费表'!E3="否",结果表!F114,'结果表 (1修多)'!F116)</f>
        <v>——</v>
      </c>
      <c r="C21" s="1365" t="str">
        <f>C7</f>
        <v>总价（元）</v>
      </c>
      <c r="D21" s="1366" t="str">
        <f>IF('数据-取费表'!E3="否",结果表!I114,'结果表 (1修多)'!I116)</f>
        <v>——</v>
      </c>
      <c r="E21" s="1359"/>
    </row>
    <row r="22" spans="1:5" ht="15.6">
      <c r="A22" s="1359"/>
      <c r="B22" s="3167"/>
      <c r="C22" s="1367" t="s">
        <v>1162</v>
      </c>
      <c r="D22" s="1368" t="e">
        <f>IF('数据-取费表'!B3="万元",NUMBERSTRING(INT(D21*10000),2)&amp;"元整",NUMBERSTRING(INT(D21),2)&amp;"元整")</f>
        <v>#VALUE!</v>
      </c>
      <c r="E22" s="1359"/>
    </row>
    <row r="23" spans="1:5" ht="16.2" thickBot="1">
      <c r="A23" s="1359"/>
      <c r="B23" s="3168"/>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182" t="s">
        <v>1260</v>
      </c>
      <c r="C25" s="3182"/>
      <c r="D25" s="3182"/>
      <c r="E25" s="1359"/>
    </row>
    <row r="26" spans="1:5" ht="18.75" customHeight="1" thickTop="1">
      <c r="A26" s="1359"/>
      <c r="B26" s="3185" t="s">
        <v>1161</v>
      </c>
      <c r="C26" s="3186"/>
      <c r="D26" s="3183" t="s">
        <v>1160</v>
      </c>
      <c r="E26" s="1359"/>
    </row>
    <row r="27" spans="1:5" ht="18.75" customHeight="1">
      <c r="A27" s="1359"/>
      <c r="B27" s="3187"/>
      <c r="C27" s="3188"/>
      <c r="D27" s="3184"/>
      <c r="E27" s="1359"/>
    </row>
    <row r="28" spans="1:5" ht="15.6">
      <c r="A28" s="1359"/>
      <c r="B28" s="3175" t="s">
        <v>776</v>
      </c>
      <c r="C28" s="1376" t="s">
        <v>1163</v>
      </c>
      <c r="D28" s="1377" t="e">
        <f ca="1">IF('数据-取费表'!E3="否",结果表!I102,'结果表 (1修多)'!I104)</f>
        <v>#REF!</v>
      </c>
      <c r="E28" s="1359"/>
    </row>
    <row r="29" spans="1:5" ht="15.6">
      <c r="A29" s="1359"/>
      <c r="B29" s="3176"/>
      <c r="C29" s="1378" t="s">
        <v>1162</v>
      </c>
      <c r="D29" s="1379" t="e">
        <f ca="1">IF('数据-取费表'!B3="万元",NUMBERSTRING(INT(D28*10000),2)&amp;"元整",NUMBERSTRING(INT(D28),2)&amp;"元整")</f>
        <v>#REF!</v>
      </c>
      <c r="E29" s="1359"/>
    </row>
    <row r="30" spans="1:5" ht="15.6">
      <c r="A30" s="1359"/>
      <c r="B30" s="3177"/>
      <c r="C30" s="1369" t="s">
        <v>1165</v>
      </c>
      <c r="D30" s="1380" t="e">
        <f ca="1">IF('数据-取费表'!E3="否",结果表!I103,'结果表 (1修多)'!I105)</f>
        <v>#REF!</v>
      </c>
      <c r="E30" s="1359"/>
    </row>
    <row r="31" spans="1:5" ht="15.6">
      <c r="A31" s="1359"/>
      <c r="B31" s="3180" t="str">
        <f>B10</f>
        <v>2.估价师所知悉的法定优先受偿款</v>
      </c>
      <c r="C31" s="1381" t="s">
        <v>1164</v>
      </c>
      <c r="D31" s="1382">
        <f>IF('数据-取费表'!E3="否",结果表!I105,'结果表 (1修多)'!I107)</f>
        <v>0</v>
      </c>
      <c r="E31" s="1359"/>
    </row>
    <row r="32" spans="1:5" ht="15.6">
      <c r="A32" s="1359"/>
      <c r="B32" s="3189"/>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78" t="str">
        <f>B15</f>
        <v>3.房地产抵押价值</v>
      </c>
      <c r="C36" s="1381" t="str">
        <f>C28</f>
        <v>总价</v>
      </c>
      <c r="D36" s="1382" t="e">
        <f ca="1">IF('数据-取费表'!E3="否",结果表!I110,'结果表 (1修多)'!I112)</f>
        <v>#REF!</v>
      </c>
      <c r="E36" s="1359"/>
    </row>
    <row r="37" spans="1:5" ht="15.6">
      <c r="A37" s="1359"/>
      <c r="B37" s="3178"/>
      <c r="C37" s="1378" t="s">
        <v>1162</v>
      </c>
      <c r="D37" s="1383" t="e">
        <f ca="1">IF('数据-取费表'!B3="万元",NUMBERSTRING(INT(D36*10000),2)&amp;"元整",NUMBERSTRING(INT(D36),2)&amp;"元整")</f>
        <v>#REF!</v>
      </c>
      <c r="E37" s="1359"/>
    </row>
    <row r="38" spans="1:5" ht="15.6">
      <c r="A38" s="1359"/>
      <c r="B38" s="3178"/>
      <c r="C38" s="1369" t="s">
        <v>1166</v>
      </c>
      <c r="D38" s="1380" t="e">
        <f ca="1">IF('数据-取费表'!E3="否",结果表!D113,'结果表 (1修多)'!D117)</f>
        <v>#REF!</v>
      </c>
      <c r="E38" s="1359"/>
    </row>
    <row r="39" spans="1:5" ht="15.6">
      <c r="A39" s="1359"/>
      <c r="B39" s="3179" t="str">
        <f>B18</f>
        <v>——</v>
      </c>
      <c r="C39" s="1381" t="str">
        <f>C28</f>
        <v>总价</v>
      </c>
      <c r="D39" s="1382" t="str">
        <f>IF('数据-取费表'!E3="否",结果表!I112,'结果表 (1修多)'!I114)</f>
        <v>——</v>
      </c>
      <c r="E39" s="1359"/>
    </row>
    <row r="40" spans="1:5" ht="15.6">
      <c r="A40" s="1359"/>
      <c r="B40" s="3179"/>
      <c r="C40" s="1378" t="s">
        <v>1162</v>
      </c>
      <c r="D40" s="1383" t="e">
        <f>IF('数据-取费表'!B3="万元",NUMBERSTRING(INT(D39*10000),2)&amp;"元整",NUMBERSTRING(INT(D39),2)&amp;"元整")</f>
        <v>#VALUE!</v>
      </c>
      <c r="E40" s="1359"/>
    </row>
    <row r="41" spans="1:5" ht="15.6">
      <c r="A41" s="1359"/>
      <c r="B41" s="3179"/>
      <c r="C41" s="1369" t="s">
        <v>1166</v>
      </c>
      <c r="D41" s="1380" t="str">
        <f>IF('数据-取费表'!E3="否",结果表!D115,'结果表 (1修多)'!D119)</f>
        <v>——</v>
      </c>
      <c r="E41" s="1359"/>
    </row>
    <row r="42" spans="1:5" ht="15.6">
      <c r="A42" s="1359"/>
      <c r="B42" s="3178" t="str">
        <f>B21</f>
        <v>——</v>
      </c>
      <c r="C42" s="1381" t="str">
        <f>C28</f>
        <v>总价</v>
      </c>
      <c r="D42" s="1382" t="str">
        <f>IF('数据-取费表'!E3="否",结果表!I114,'结果表 (1修多)'!I116)</f>
        <v>——</v>
      </c>
      <c r="E42" s="1359"/>
    </row>
    <row r="43" spans="1:5" ht="15.6">
      <c r="A43" s="1359"/>
      <c r="B43" s="3180"/>
      <c r="C43" s="1378" t="s">
        <v>1162</v>
      </c>
      <c r="D43" s="1384" t="e">
        <f>IF('数据-取费表'!B3="万元",NUMBERSTRING(INT(D42*10000),2)&amp;"元整",NUMBERSTRING(INT(D42),2)&amp;"元整")</f>
        <v>#VALUE!</v>
      </c>
      <c r="E43" s="1359"/>
    </row>
    <row r="44" spans="1:5" ht="16.2" thickBot="1">
      <c r="A44" s="1359"/>
      <c r="B44" s="3181"/>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45513</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B32"/>
  <sheetViews>
    <sheetView topLeftCell="A34" workbookViewId="0">
      <selection activeCell="H38" sqref="H38"/>
    </sheetView>
  </sheetViews>
  <sheetFormatPr defaultColWidth="8.88671875" defaultRowHeight="14.4"/>
  <sheetData>
    <row r="30" spans="1:2">
      <c r="A30" s="1341" t="s">
        <v>2936</v>
      </c>
      <c r="B30" s="1341"/>
    </row>
    <row r="31" spans="1:2">
      <c r="A31" s="1341" t="s">
        <v>2937</v>
      </c>
    </row>
    <row r="32" spans="1:2">
      <c r="A32" s="1341" t="s">
        <v>2938</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196" t="str">
        <f>IF(项目基本情况!D5="房地产市场价值","估价结果一览表","结果表-2")</f>
        <v>估价结果一览表</v>
      </c>
      <c r="B1" s="3196"/>
      <c r="C1" s="3196"/>
      <c r="D1" s="3196"/>
      <c r="E1" s="3196"/>
      <c r="F1" s="3196"/>
      <c r="G1" s="3196"/>
      <c r="H1" s="3196"/>
      <c r="I1" s="3196"/>
    </row>
    <row r="2" spans="1:9" ht="30" customHeight="1" thickTop="1">
      <c r="A2" s="3197" t="s">
        <v>1261</v>
      </c>
      <c r="B2" s="3197" t="s">
        <v>1262</v>
      </c>
      <c r="C2" s="3197" t="s">
        <v>1263</v>
      </c>
      <c r="D2" s="3197" t="str">
        <f>IF('数据-取费表'!E3="否",结果表!D119,'结果表 (1修多)'!D123)</f>
        <v>出让国有建设用地使用权价值</v>
      </c>
      <c r="E2" s="3197"/>
      <c r="F2" s="3197" t="s">
        <v>1264</v>
      </c>
      <c r="G2" s="3197"/>
      <c r="H2" s="3197" t="s">
        <v>1265</v>
      </c>
      <c r="I2" s="3197"/>
    </row>
    <row r="3" spans="1:9" ht="15.6">
      <c r="A3" s="3192"/>
      <c r="B3" s="3192"/>
      <c r="C3" s="3192"/>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192" t="s">
        <v>1269</v>
      </c>
      <c r="B5" s="3192"/>
      <c r="C5" s="3192"/>
      <c r="D5" s="3190" t="e">
        <f ca="1">IF('数据-取费表'!E3="否",结果表!D122,'结果表 (1修多)'!D126)</f>
        <v>#REF!</v>
      </c>
      <c r="E5" s="3190"/>
      <c r="F5" s="3190" t="e">
        <f ca="1">IF('数据-取费表'!E3="否",结果表!F122,'结果表 (1修多)'!F126)</f>
        <v>#REF!</v>
      </c>
      <c r="G5" s="3190"/>
      <c r="H5" s="3190" t="e">
        <f ca="1">IF('数据-取费表'!E3="否",结果表!H122,'结果表 (1修多)'!H126)</f>
        <v>#REF!</v>
      </c>
      <c r="I5" s="3190"/>
    </row>
    <row r="6" spans="1:9" ht="15.6">
      <c r="A6" s="3191" t="str">
        <f>IF('数据-取费表'!E3="否",结果表!A123,'结果表 (1修多)'!A127)</f>
        <v>——</v>
      </c>
      <c r="B6" s="3191"/>
      <c r="C6" s="3191"/>
      <c r="D6" s="3191">
        <f>IF('数据-取费表'!E3="否",结果表!D123,'结果表 (1修多)'!D127)</f>
        <v>0</v>
      </c>
      <c r="E6" s="3191"/>
      <c r="F6" s="3191"/>
      <c r="G6" s="3191"/>
      <c r="H6" s="3191"/>
      <c r="I6" s="3191"/>
    </row>
    <row r="7" spans="1:9" ht="15">
      <c r="A7" s="3192" t="s">
        <v>1269</v>
      </c>
      <c r="B7" s="3192"/>
      <c r="C7" s="3192"/>
      <c r="D7" s="3193">
        <f>IF('数据-取费表'!E3="否",结果表!D124,'结果表 (1修多)'!D128)</f>
        <v>0</v>
      </c>
      <c r="E7" s="3194"/>
      <c r="F7" s="3194"/>
      <c r="G7" s="3194"/>
      <c r="H7" s="3194"/>
      <c r="I7" s="3195"/>
    </row>
    <row r="8" spans="1:9" ht="15.6">
      <c r="A8" s="3191" t="str">
        <f>IF('数据-取费表'!E3="否",结果表!A125,'结果表 (1修多)'!A129)</f>
        <v>——</v>
      </c>
      <c r="B8" s="3191"/>
      <c r="C8" s="3191"/>
      <c r="D8" s="3191" t="e">
        <f ca="1">IF('数据-取费表'!E3="否",结果表!D125,'结果表 (1修多)'!D129)</f>
        <v>#REF!</v>
      </c>
      <c r="E8" s="3191"/>
      <c r="F8" s="3191"/>
      <c r="G8" s="3191"/>
      <c r="H8" s="3191"/>
      <c r="I8" s="3191"/>
    </row>
    <row r="9" spans="1:9" ht="15">
      <c r="A9" s="3192" t="s">
        <v>1269</v>
      </c>
      <c r="B9" s="3192"/>
      <c r="C9" s="3192"/>
      <c r="D9" s="3190" t="e">
        <f ca="1">IF('数据-取费表'!E3="否",结果表!D126,'结果表 (1修多)'!D130)</f>
        <v>#REF!</v>
      </c>
      <c r="E9" s="3190"/>
      <c r="F9" s="3190"/>
      <c r="G9" s="3190"/>
      <c r="H9" s="3190"/>
      <c r="I9" s="3190"/>
    </row>
    <row r="10" spans="1:9" ht="15.6">
      <c r="A10" s="3191" t="str">
        <f>IF('数据-取费表'!E3="否",结果表!A127,'结果表 (1修多)'!A131)</f>
        <v>——</v>
      </c>
      <c r="B10" s="3191"/>
      <c r="C10" s="3191"/>
      <c r="D10" s="3191" t="str">
        <f>IF('数据-取费表'!E3="否",结果表!D127,'结果表 (1修多)'!D130)</f>
        <v>——</v>
      </c>
      <c r="E10" s="3191"/>
      <c r="F10" s="3191"/>
      <c r="G10" s="3191"/>
      <c r="H10" s="3191"/>
      <c r="I10" s="3191"/>
    </row>
    <row r="11" spans="1:9" ht="15">
      <c r="A11" s="3192" t="s">
        <v>1269</v>
      </c>
      <c r="B11" s="3192"/>
      <c r="C11" s="3192"/>
      <c r="D11" s="3190" t="str">
        <f>IF('数据-取费表'!E3="否",结果表!D128,'结果表 (1修多)'!D132)</f>
        <v>——</v>
      </c>
      <c r="E11" s="3190"/>
      <c r="F11" s="3190"/>
      <c r="G11" s="3190"/>
      <c r="H11" s="3190"/>
      <c r="I11" s="3190"/>
    </row>
    <row r="12" spans="1:9" ht="15.6">
      <c r="A12" s="3191" t="str">
        <f>IF('数据-取费表'!E3="否",结果表!A129,'结果表 (1修多)'!A133)</f>
        <v>——</v>
      </c>
      <c r="B12" s="3191"/>
      <c r="C12" s="3191"/>
      <c r="D12" s="3191" t="str">
        <f>IF('数据-取费表'!E3="否",结果表!D129,'结果表 (1修多)'!D133)</f>
        <v>——</v>
      </c>
      <c r="E12" s="3191"/>
      <c r="F12" s="3191"/>
      <c r="G12" s="3191"/>
      <c r="H12" s="3191"/>
      <c r="I12" s="3191"/>
    </row>
    <row r="13" spans="1:9" ht="15.6" thickBot="1">
      <c r="A13" s="3198" t="s">
        <v>1269</v>
      </c>
      <c r="B13" s="3198"/>
      <c r="C13" s="3198"/>
      <c r="D13" s="3199">
        <f>IF('数据-取费表'!E3="否",结果表!D130,'结果表 (1修多)'!D134)</f>
        <v>0</v>
      </c>
      <c r="E13" s="3199"/>
      <c r="F13" s="3199"/>
      <c r="G13" s="3199"/>
      <c r="H13" s="3199"/>
      <c r="I13" s="3199"/>
    </row>
    <row r="14" spans="1:9" ht="14.4" thickTop="1">
      <c r="A14" s="3200" t="str">
        <f>IF('数据-取费表'!E3="否",结果表!A131,'结果表 (1修多)'!A135)</f>
        <v>单位：平方米、万元、元/平方米（币种：人民币）</v>
      </c>
      <c r="B14" s="3200"/>
      <c r="C14" s="3200"/>
      <c r="D14" s="3200"/>
      <c r="E14" s="3200"/>
      <c r="F14" s="3200"/>
      <c r="G14" s="3200"/>
      <c r="H14" s="3200"/>
      <c r="I14" s="3200"/>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05" t="s">
        <v>1282</v>
      </c>
      <c r="B1" s="3205"/>
      <c r="C1" s="3205"/>
      <c r="D1" s="3205"/>
    </row>
    <row r="2" spans="1:4" ht="17.399999999999999">
      <c r="A2" s="3204" t="s">
        <v>1271</v>
      </c>
      <c r="B2" s="3204"/>
      <c r="C2" s="3204"/>
      <c r="D2" s="3204"/>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04" t="s">
        <v>1276</v>
      </c>
      <c r="B7" s="3204"/>
      <c r="C7" s="3204"/>
      <c r="D7" s="3204"/>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01" t="s">
        <v>2746</v>
      </c>
      <c r="B12" s="3203"/>
      <c r="C12" s="3203"/>
      <c r="D12" s="3203"/>
    </row>
    <row r="13" spans="1:4" ht="15.6">
      <c r="A13" s="32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3"/>
      <c r="C13" s="3203"/>
      <c r="D13" s="3203"/>
    </row>
    <row r="14" spans="1:4" ht="30" customHeight="1">
      <c r="A14" s="3201" t="str">
        <f>IF(项目基本情况!D4="抵押","3.抵押双方在办理抵押登记手续时，应使用本公司出具的正式《不动产估价报告书》，特提醒报告使用者注意。","——")</f>
        <v>——</v>
      </c>
      <c r="B14" s="3203"/>
      <c r="C14" s="3203"/>
      <c r="D14" s="3203"/>
    </row>
    <row r="15" spans="1:4" ht="15.75" customHeight="1">
      <c r="A15" s="3201" t="str">
        <f>IF(项目基本情况!D4="抵押","4.本次评估估价师所知悉的法定优先受偿款情况说明如下：","——")</f>
        <v>——</v>
      </c>
      <c r="B15" s="3203"/>
      <c r="C15" s="3203"/>
      <c r="D15" s="3203"/>
    </row>
    <row r="16" spans="1:4" ht="75" customHeight="1">
      <c r="A16" s="3201" t="str">
        <f>IF(项目基本情况!D4="抵押",CONCATENATE(项目基本情况!J13,项目基本情况!J14,项目基本情况!J15),"——")</f>
        <v>——</v>
      </c>
      <c r="B16" s="3201"/>
      <c r="C16" s="3201"/>
      <c r="D16" s="3201"/>
    </row>
    <row r="17" spans="1:4" ht="63.75" customHeight="1">
      <c r="A17" s="3202" t="s">
        <v>1284</v>
      </c>
      <c r="B17" s="3202"/>
      <c r="C17" s="3202"/>
      <c r="D17" s="3202"/>
    </row>
    <row r="18" spans="1:4" ht="15.75" customHeight="1">
      <c r="A18" s="3201" t="str">
        <f>IF(项目基本情况!D4="抵押",结果表!L106,"——")</f>
        <v>——</v>
      </c>
      <c r="B18" s="3201"/>
      <c r="C18" s="3201"/>
      <c r="D18" s="3201"/>
    </row>
    <row r="19" spans="1:4" ht="46.5" customHeight="1">
      <c r="A19" s="32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15">
      <c r="A20" s="3202" t="s">
        <v>2747</v>
      </c>
      <c r="B20" s="3202"/>
      <c r="C20" s="3202"/>
      <c r="D20" s="3202"/>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11" t="s">
        <v>1363</v>
      </c>
      <c r="B15" s="3206" t="s">
        <v>1364</v>
      </c>
      <c r="C15" s="3207"/>
    </row>
    <row r="16" spans="1:7" ht="14.4">
      <c r="A16" s="3212"/>
      <c r="B16" s="3206" t="s">
        <v>1365</v>
      </c>
      <c r="C16" s="3207"/>
    </row>
    <row r="17" spans="1:3" ht="14.4">
      <c r="A17" s="3212"/>
      <c r="B17" s="3206" t="s">
        <v>1366</v>
      </c>
      <c r="C17" s="3207"/>
    </row>
    <row r="18" spans="1:3" ht="14.4">
      <c r="A18" s="3213"/>
      <c r="B18" s="3208" t="s">
        <v>1367</v>
      </c>
      <c r="C18" s="3207"/>
    </row>
    <row r="19" spans="1:3" ht="14.4">
      <c r="A19" s="1412" t="s">
        <v>1368</v>
      </c>
      <c r="B19" s="1413"/>
      <c r="C19" s="1414"/>
    </row>
    <row r="20" spans="1:3" ht="14.4">
      <c r="A20" s="3209" t="s">
        <v>1369</v>
      </c>
      <c r="B20" s="3208" t="s">
        <v>1370</v>
      </c>
      <c r="C20" s="3207"/>
    </row>
    <row r="21" spans="1:3" ht="14.4">
      <c r="A21" s="3209"/>
      <c r="B21" s="3208" t="s">
        <v>1371</v>
      </c>
      <c r="C21" s="3207"/>
    </row>
    <row r="22" spans="1:3" ht="14.4">
      <c r="A22" s="3209"/>
      <c r="B22" s="3208" t="s">
        <v>1372</v>
      </c>
      <c r="C22" s="3207"/>
    </row>
    <row r="23" spans="1:3" ht="14.4">
      <c r="A23" s="3209"/>
      <c r="B23" s="3210" t="s">
        <v>1373</v>
      </c>
      <c r="C23" s="1415" t="s">
        <v>1374</v>
      </c>
    </row>
    <row r="24" spans="1:3" ht="14.4">
      <c r="A24" s="3209"/>
      <c r="B24" s="3210"/>
      <c r="C24" s="1415" t="s">
        <v>1375</v>
      </c>
    </row>
    <row r="25" spans="1:3" ht="14.4">
      <c r="A25" s="3209"/>
      <c r="B25" s="3210"/>
      <c r="C25" s="1415" t="s">
        <v>1376</v>
      </c>
    </row>
    <row r="26" spans="1:3" ht="14.4">
      <c r="A26" s="3209"/>
      <c r="B26" s="3210"/>
      <c r="C26" s="1415" t="s">
        <v>1377</v>
      </c>
    </row>
    <row r="27" spans="1:3" ht="14.4">
      <c r="A27" s="3209"/>
      <c r="B27" s="3210"/>
      <c r="C27" s="1415" t="s">
        <v>1378</v>
      </c>
    </row>
    <row r="28" spans="1:3" ht="14.4">
      <c r="A28" s="3209"/>
      <c r="B28" s="3210"/>
      <c r="C28" s="1415" t="s">
        <v>1379</v>
      </c>
    </row>
    <row r="29" spans="1:3" ht="14.4">
      <c r="A29" s="3209"/>
      <c r="B29" s="3210"/>
      <c r="C29" s="1415" t="s">
        <v>1380</v>
      </c>
    </row>
    <row r="30" spans="1:3" ht="14.4">
      <c r="A30" s="3209"/>
      <c r="B30" s="3210"/>
      <c r="C30" s="1415" t="s">
        <v>1381</v>
      </c>
    </row>
    <row r="31" spans="1:3" ht="14.4">
      <c r="A31" s="3209"/>
      <c r="B31" s="321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45517</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71"/>
      <c r="E18" s="3216" t="s">
        <v>764</v>
      </c>
      <c r="F18" s="3215"/>
      <c r="G18" s="3215"/>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1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本次估价的“房地产价值”是指在正常市场情况下，在价值时点2024年8月9日，估价对象规划用途为，假定未设立法定优先受偿款下的房地产市场价值。</v>
      </c>
    </row>
    <row r="54" spans="1:4" ht="14.4">
      <c r="A54" s="3217"/>
      <c r="B54" s="9" t="s">
        <v>1519</v>
      </c>
      <c r="C54" s="9" t="s">
        <v>1520</v>
      </c>
    </row>
    <row r="55" spans="1:4" ht="14.4">
      <c r="A55" s="3217"/>
      <c r="B55" s="9" t="s">
        <v>1521</v>
      </c>
      <c r="C55" s="9" t="s">
        <v>1522</v>
      </c>
    </row>
    <row r="56" spans="1:4" ht="14.4">
      <c r="A56" s="3217"/>
      <c r="B56" s="9" t="s">
        <v>1523</v>
      </c>
      <c r="C56" s="9" t="s">
        <v>1524</v>
      </c>
    </row>
    <row r="57" spans="1:4" ht="14.4">
      <c r="A57" s="321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 (2)</vt:lpstr>
      <vt:lpstr>Sheet1</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2020-08-03T08:20:51Z</cp:lastPrinted>
  <dcterms:created xsi:type="dcterms:W3CDTF">2015-07-13T07:17:23Z</dcterms:created>
  <dcterms:modified xsi:type="dcterms:W3CDTF">2024-08-13T05:33:12Z</dcterms:modified>
</cp:coreProperties>
</file>