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
    </mc:Choice>
  </mc:AlternateContent>
  <xr:revisionPtr revIDLastSave="0" documentId="13_ncr:1_{05BE4F59-3538-4C83-AF63-B3218F54B00F}" xr6:coauthVersionLast="45" xr6:coauthVersionMax="45" xr10:uidLastSave="{00000000-0000-0000-0000-000000000000}"/>
  <bookViews>
    <workbookView xWindow="15" yWindow="45" windowWidth="18600" windowHeight="10485"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收益法倒推!$A$1:$J$89</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74" l="1"/>
  <c r="B14" i="74"/>
  <c r="E14" i="74"/>
  <c r="D14" i="74"/>
  <c r="D43" i="83" l="1"/>
  <c r="G45" i="83"/>
  <c r="D46" i="83" l="1"/>
  <c r="D47" i="83" s="1"/>
  <c r="D48" i="83" s="1"/>
  <c r="D49" i="83" s="1"/>
  <c r="D50" i="83" l="1"/>
  <c r="I2" i="85"/>
  <c r="G3" i="85"/>
  <c r="G2" i="85" l="1"/>
  <c r="H2" i="85"/>
  <c r="K2" i="85" s="1"/>
  <c r="M2" i="85" s="1"/>
  <c r="E3" i="85"/>
  <c r="F3" i="85" s="1"/>
  <c r="K3" i="85" s="1"/>
  <c r="M3" i="85" s="1"/>
  <c r="D3" i="85"/>
  <c r="E2" i="85"/>
  <c r="F2" i="85" s="1"/>
  <c r="D2" i="85"/>
  <c r="M3" i="81" l="1"/>
  <c r="M4" i="81"/>
  <c r="M5" i="81"/>
  <c r="M6" i="81"/>
  <c r="M7" i="81"/>
  <c r="M2" i="81"/>
  <c r="E24" i="83"/>
  <c r="E25" i="83"/>
  <c r="O7" i="81"/>
  <c r="O6" i="81"/>
  <c r="O5" i="81"/>
  <c r="O4" i="81"/>
  <c r="O3" i="81"/>
  <c r="N7" i="81"/>
  <c r="N6" i="81"/>
  <c r="N5" i="81"/>
  <c r="N4" i="81"/>
  <c r="N3" i="81"/>
  <c r="I3"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C33" i="84"/>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D3" i="84"/>
  <c r="C33" i="80"/>
  <c r="I33" i="80"/>
  <c r="G33" i="80"/>
  <c r="E33" i="80"/>
  <c r="D2" i="84"/>
  <c r="G89" i="84" l="1"/>
  <c r="H89" i="84" s="1"/>
  <c r="H26" i="84"/>
  <c r="AB26" i="84" s="1"/>
  <c r="G54" i="84"/>
  <c r="H54" i="84" s="1"/>
  <c r="J33" i="84"/>
  <c r="W33" i="84" s="1"/>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C33" i="84"/>
  <c r="AA26" i="84"/>
  <c r="S26" i="84"/>
  <c r="AA33" i="84"/>
  <c r="S33" i="84"/>
  <c r="AA46" i="84"/>
  <c r="S46" i="84"/>
  <c r="AC32" i="84"/>
  <c r="W32" i="84"/>
  <c r="AC10" i="84"/>
  <c r="W10" i="84"/>
  <c r="AC46" i="84"/>
  <c r="W46" i="84"/>
  <c r="AA32" i="84"/>
  <c r="S32" i="84"/>
  <c r="AC26" i="84"/>
  <c r="W26" i="84"/>
  <c r="AA10" i="84"/>
  <c r="S10" i="84"/>
  <c r="AB33" i="84"/>
  <c r="U33" i="84"/>
  <c r="P3" i="81" l="1"/>
  <c r="P4" i="81"/>
  <c r="E47" i="80" s="1"/>
  <c r="P5" i="81"/>
  <c r="G47" i="80" s="1"/>
  <c r="P6" i="81"/>
  <c r="P7" i="81"/>
  <c r="I47" i="80" s="1"/>
  <c r="P2" i="81"/>
  <c r="I37" i="80"/>
  <c r="G37" i="80"/>
  <c r="E37" i="80"/>
  <c r="D66" i="80"/>
  <c r="E66" i="80" s="1"/>
  <c r="F66" i="80" s="1"/>
  <c r="G66" i="80" s="1"/>
  <c r="H66" i="80" s="1"/>
  <c r="I66" i="80" s="1"/>
  <c r="I5" i="80"/>
  <c r="G5" i="80"/>
  <c r="E5" i="80"/>
  <c r="AH6" i="1"/>
  <c r="Y6" i="1"/>
  <c r="F19" i="6"/>
  <c r="D3" i="4"/>
  <c r="C37" i="83"/>
  <c r="E29" i="83"/>
  <c r="C22" i="83"/>
  <c r="C21" i="83"/>
  <c r="E19" i="83" s="1"/>
  <c r="F19" i="83"/>
  <c r="C18" i="83"/>
  <c r="F16" i="83"/>
  <c r="E16" i="83"/>
  <c r="E15" i="83"/>
  <c r="C15" i="83"/>
  <c r="M10" i="83"/>
  <c r="P9" i="83"/>
  <c r="O10" i="83" s="1"/>
  <c r="C8" i="83"/>
  <c r="M4" i="83"/>
  <c r="C11" i="83"/>
  <c r="C9" i="83" l="1"/>
  <c r="C12" i="83"/>
  <c r="C10" i="83"/>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F42" i="80" l="1"/>
  <c r="AA42" i="80" s="1"/>
  <c r="J42" i="80"/>
  <c r="W42" i="80" s="1"/>
  <c r="C13" i="83"/>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20" i="83" l="1"/>
  <c r="C14" i="83"/>
  <c r="S44" i="80"/>
  <c r="T48" i="80"/>
  <c r="R48" i="80"/>
  <c r="W26" i="80"/>
  <c r="V48" i="80"/>
  <c r="U26" i="80"/>
  <c r="U36" i="80"/>
  <c r="S26" i="80"/>
  <c r="S13" i="80"/>
  <c r="C17" i="83"/>
  <c r="C16" i="83" s="1"/>
  <c r="P28" i="79"/>
  <c r="P26" i="79"/>
  <c r="C19" i="83" l="1"/>
  <c r="C23" i="83"/>
  <c r="B10" i="74"/>
  <c r="C27" i="83" l="1"/>
  <c r="C7" i="83"/>
  <c r="C28" i="83"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24" i="83" l="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H1" i="69"/>
  <c r="W25" i="40"/>
  <c r="U25" i="40"/>
  <c r="U29" i="39"/>
  <c r="W29" i="39"/>
  <c r="W18" i="36"/>
  <c r="AB21" i="37"/>
  <c r="U21" i="37"/>
  <c r="S21" i="37"/>
  <c r="U21" i="34"/>
  <c r="AB21" i="33"/>
  <c r="AA21" i="33"/>
  <c r="S21" i="33"/>
  <c r="U18" i="35"/>
  <c r="AC18" i="35"/>
  <c r="W18" i="35"/>
  <c r="J21" i="37"/>
  <c r="W21" i="37" s="1"/>
  <c r="J21" i="34"/>
  <c r="W21" i="34" s="1"/>
  <c r="J21" i="33"/>
  <c r="W21" i="33" s="1"/>
  <c r="F38" i="69"/>
  <c r="E37" i="69"/>
  <c r="F36" i="69"/>
  <c r="F35" i="69"/>
  <c r="F21" i="69"/>
  <c r="F40" i="69" s="1"/>
  <c r="F20" i="69"/>
  <c r="F39" i="69" s="1"/>
  <c r="E10" i="69"/>
  <c r="E9" i="69"/>
  <c r="AC21" i="37"/>
  <c r="AC21" i="34"/>
  <c r="AC21" i="33"/>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B26" i="33"/>
  <c r="AA14" i="37"/>
  <c r="AC13" i="36"/>
  <c r="W13" i="36"/>
  <c r="S11" i="36"/>
  <c r="AB46" i="34"/>
  <c r="AC30" i="34"/>
  <c r="AA14" i="34"/>
  <c r="S45" i="33"/>
  <c r="AB45" i="33"/>
  <c r="AB31" i="33"/>
  <c r="U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14" i="37"/>
  <c r="AB28" i="37"/>
  <c r="U33" i="37"/>
  <c r="U39" i="37"/>
  <c r="W26" i="37"/>
  <c r="AC36" i="34"/>
  <c r="AA13" i="33"/>
  <c r="AC31" i="33"/>
  <c r="AC45" i="33"/>
  <c r="U11" i="33"/>
  <c r="F43" i="33"/>
  <c r="AA43" i="33" s="1"/>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5" i="3"/>
  <c r="H19" i="40"/>
  <c r="U19" i="40" s="1"/>
  <c r="F88" i="40"/>
  <c r="G88" i="40" s="1"/>
  <c r="F19" i="40"/>
  <c r="S19" i="40" s="1"/>
  <c r="S14" i="40"/>
  <c r="AC13" i="40"/>
  <c r="AB33" i="40"/>
  <c r="W2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U17" i="39"/>
  <c r="S14" i="35"/>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D6" i="52"/>
  <c r="AP7" i="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16" i="67"/>
  <c r="F13" i="67"/>
  <c r="M29" i="67"/>
  <c r="F6" i="15"/>
  <c r="F8" i="67"/>
  <c r="AO13" i="1"/>
  <c r="F43" i="15"/>
  <c r="M23" i="67"/>
  <c r="F6" i="67"/>
  <c r="E13" i="76"/>
  <c r="L48" i="67"/>
  <c r="C76" i="15"/>
  <c r="M29" i="15"/>
  <c r="F37" i="67"/>
  <c r="M6" i="15"/>
  <c r="M28" i="15"/>
  <c r="D7" i="73"/>
  <c r="F40" i="15"/>
  <c r="E2" i="68"/>
  <c r="F4" i="73"/>
  <c r="F38" i="67"/>
  <c r="B10" i="76"/>
  <c r="F36" i="67"/>
  <c r="M22" i="67"/>
  <c r="E11" i="76"/>
  <c r="L47" i="67"/>
  <c r="E7" i="76"/>
  <c r="B11" i="76"/>
  <c r="B13" i="76"/>
  <c r="C76" i="67"/>
  <c r="E9" i="76"/>
  <c r="D6" i="73"/>
  <c r="M26" i="15"/>
  <c r="D3" i="73"/>
  <c r="B12" i="76"/>
  <c r="J15" i="67"/>
  <c r="F13" i="15"/>
  <c r="L48" i="15"/>
  <c r="F38" i="15"/>
  <c r="M28" i="67"/>
  <c r="F16" i="15"/>
  <c r="M6" i="67"/>
  <c r="F9" i="67"/>
  <c r="D35" i="9"/>
  <c r="F36" i="15"/>
  <c r="F20" i="31"/>
  <c r="M8" i="67"/>
  <c r="F9" i="15"/>
  <c r="D34" i="9"/>
  <c r="F26" i="15"/>
  <c r="F5" i="73"/>
  <c r="J15" i="15"/>
  <c r="B9" i="76"/>
  <c r="E2" i="69"/>
  <c r="E10" i="76"/>
  <c r="B7" i="76"/>
  <c r="F42" i="15"/>
  <c r="M9" i="15"/>
  <c r="E8" i="76"/>
  <c r="F40" i="67"/>
  <c r="E12" i="76"/>
  <c r="M24" i="15"/>
  <c r="M26" i="67"/>
  <c r="M23" i="15"/>
  <c r="F8" i="15"/>
  <c r="F26" i="67"/>
  <c r="F37" i="15"/>
  <c r="M22" i="15"/>
  <c r="F42" i="67"/>
  <c r="F7" i="73"/>
  <c r="F6" i="73"/>
  <c r="M24" i="67"/>
  <c r="F43" i="67"/>
  <c r="F7" i="15"/>
  <c r="F7" i="67"/>
  <c r="L47" i="15"/>
  <c r="B8" i="76"/>
  <c r="M9" i="67"/>
  <c r="M8" i="15"/>
  <c r="F3" i="73"/>
  <c r="F6" i="1" l="1"/>
  <c r="G6" i="1" s="1"/>
  <c r="G16" i="1" s="1"/>
  <c r="F10" i="39"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D4" i="73"/>
  <c r="C16" i="67"/>
  <c r="D5" i="73"/>
  <c r="C58" i="80" l="1"/>
  <c r="D58" i="80" s="1"/>
  <c r="E58" i="80" s="1"/>
  <c r="F58" i="80" s="1"/>
  <c r="G58" i="80" s="1"/>
  <c r="H58" i="80" s="1"/>
  <c r="I58" i="80" s="1"/>
  <c r="J58" i="80" s="1"/>
  <c r="K58" i="80" s="1"/>
  <c r="L58" i="80" s="1"/>
  <c r="M58" i="80" s="1"/>
  <c r="N58" i="80" s="1"/>
  <c r="O58" i="80" s="1"/>
  <c r="I7" i="80"/>
  <c r="J7" i="80" s="1"/>
  <c r="W7" i="80" s="1"/>
  <c r="E7" i="80"/>
  <c r="G7" i="80"/>
  <c r="H7" i="80" s="1"/>
  <c r="U7" i="80" s="1"/>
  <c r="I7" i="84"/>
  <c r="E7" i="84"/>
  <c r="F7" i="84" s="1"/>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AC7" i="80"/>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D3" i="80" s="1"/>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B40" i="1" l="1"/>
  <c r="L36" i="43" s="1"/>
  <c r="L37" i="43" s="1"/>
  <c r="F45" i="69"/>
  <c r="I48" i="80"/>
  <c r="I52" i="80" s="1"/>
  <c r="J52" i="80" s="1"/>
  <c r="AB7" i="84"/>
  <c r="T48" i="84" s="1"/>
  <c r="G48" i="84" s="1"/>
  <c r="U7" i="84"/>
  <c r="S7" i="84"/>
  <c r="AA7" i="84"/>
  <c r="R48" i="84" s="1"/>
  <c r="U7" i="36"/>
  <c r="J7" i="84"/>
  <c r="AB7" i="80"/>
  <c r="F27" i="68"/>
  <c r="F45" i="68" s="1"/>
  <c r="F67" i="39"/>
  <c r="F69" i="39" s="1"/>
  <c r="F27" i="11"/>
  <c r="C29" i="11" s="1"/>
  <c r="D27" i="11" s="1"/>
  <c r="C29" i="69"/>
  <c r="D27" i="69" s="1"/>
  <c r="S7" i="80"/>
  <c r="AA7" i="80"/>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67"/>
  <c r="F41" i="15"/>
  <c r="M27" i="15"/>
  <c r="F22" i="68" l="1"/>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R49" i="80"/>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3" i="68"/>
  <c r="C26" i="12"/>
  <c r="D25" i="12" s="1"/>
  <c r="C66" i="67"/>
  <c r="C60" i="67"/>
  <c r="D10" i="69"/>
  <c r="C34" i="69"/>
  <c r="D10" i="68"/>
  <c r="C17" i="67"/>
  <c r="C17" i="15"/>
  <c r="C14" i="67"/>
  <c r="C44" i="11" l="1"/>
  <c r="D41" i="11" s="1"/>
  <c r="C26" i="68"/>
  <c r="D22" i="68" s="1"/>
  <c r="C44" i="68"/>
  <c r="D41" i="68" s="1"/>
  <c r="C44" i="69"/>
  <c r="D41" i="69" s="1"/>
  <c r="C26" i="69"/>
  <c r="D22" i="69" s="1"/>
  <c r="C24" i="11"/>
  <c r="C26" i="11"/>
  <c r="D22" i="11" s="1"/>
  <c r="C48" i="84"/>
  <c r="C3" i="83" s="1"/>
  <c r="C4" i="83" s="1"/>
  <c r="C30" i="83" s="1"/>
  <c r="C31" i="83" s="1"/>
  <c r="D37" i="83" s="1"/>
  <c r="C49" i="84"/>
  <c r="I53" i="84"/>
  <c r="J53" i="84" s="1"/>
  <c r="I52" i="84"/>
  <c r="J52" i="84" s="1"/>
  <c r="G53" i="80"/>
  <c r="H53" i="80" s="1"/>
  <c r="E53" i="84"/>
  <c r="F53" i="84" s="1"/>
  <c r="E52" i="84"/>
  <c r="F52" i="84" s="1"/>
  <c r="G53" i="84"/>
  <c r="H53" i="84" s="1"/>
  <c r="C25" i="11"/>
  <c r="C22" i="11" s="1"/>
  <c r="C48" i="80"/>
  <c r="C49"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E47" i="37"/>
  <c r="F47" i="37" s="1"/>
  <c r="E46" i="37"/>
  <c r="F46" i="37" s="1"/>
  <c r="I47" i="37"/>
  <c r="J47" i="37" s="1"/>
  <c r="E53" i="33"/>
  <c r="F53" i="33" s="1"/>
  <c r="E52" i="33"/>
  <c r="F52" i="33" s="1"/>
  <c r="C33" i="15"/>
  <c r="C33" i="67"/>
  <c r="J19" i="67"/>
  <c r="C34" i="68"/>
  <c r="B6" i="76"/>
  <c r="E6" i="76"/>
  <c r="C14" i="15"/>
  <c r="C31" i="11" l="1"/>
  <c r="J9" i="83"/>
  <c r="B3" i="84"/>
  <c r="B2" i="84"/>
  <c r="B2" i="80"/>
  <c r="B3" i="80" s="1"/>
  <c r="D36" i="83"/>
  <c r="D38" i="83" s="1"/>
  <c r="H44" i="8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J48" i="35"/>
  <c r="C19" i="9"/>
  <c r="C20" i="9"/>
  <c r="C103" i="9" l="1"/>
  <c r="C102" i="9"/>
  <c r="C21" i="9"/>
  <c r="J8" i="83"/>
  <c r="G36"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D41" i="83" l="1"/>
  <c r="N2" i="85" s="1"/>
  <c r="J10" i="83"/>
  <c r="E39" i="83"/>
  <c r="E40" i="83" s="1"/>
  <c r="C39" i="83"/>
  <c r="C40" i="8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67"/>
  <c r="M21" i="67"/>
  <c r="M21" i="15"/>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6" i="71" l="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6"/>
  <c r="D19" i="9"/>
  <c r="D2" i="37"/>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D20" i="9"/>
  <c r="AO10" i="1"/>
  <c r="AO7" i="1"/>
  <c r="AO9" i="1"/>
  <c r="AO8" i="1"/>
  <c r="AO12"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c r="D14" i="53"/>
  <c r="D8" i="52"/>
  <c r="B20" i="72"/>
  <c r="N61" i="9"/>
  <c r="N59" i="9"/>
  <c r="N60" i="9"/>
  <c r="D54" i="9"/>
  <c r="C68" i="9"/>
  <c r="C80" i="9"/>
  <c r="E80" i="9"/>
  <c r="E81" i="9"/>
  <c r="B49" i="72"/>
  <c r="D119" i="9"/>
  <c r="D5" i="52"/>
  <c r="C86" i="9"/>
  <c r="C93" i="9"/>
  <c r="B48" i="72"/>
  <c r="E4" i="52"/>
  <c r="C6" i="74"/>
  <c r="B53" i="72"/>
  <c r="F119" i="9"/>
  <c r="F5" i="52"/>
  <c r="D122" i="9"/>
  <c r="D123" i="9"/>
  <c r="D9" i="52"/>
  <c r="M48" i="9"/>
  <c r="D13" i="53"/>
  <c r="B30" i="72"/>
  <c r="M55" i="9"/>
  <c r="C64" i="9"/>
  <c r="C63" i="9"/>
  <c r="C67" i="9"/>
  <c r="D59" i="9"/>
  <c r="D5" i="53"/>
  <c r="D6" i="53"/>
  <c r="B22" i="72"/>
  <c r="P57" i="9"/>
  <c r="D55" i="9"/>
  <c r="M53" i="9"/>
  <c r="N57" i="9"/>
  <c r="N58" i="9"/>
  <c r="C96" i="9"/>
  <c r="E96" i="9"/>
  <c r="E97" i="9"/>
  <c r="C104" i="9"/>
  <c r="H4" i="52"/>
  <c r="C72" i="9"/>
  <c r="C79" i="9"/>
  <c r="C81" i="9"/>
  <c r="F4" i="52"/>
  <c r="B51" i="72"/>
  <c r="E118" i="9"/>
  <c r="D118" i="9"/>
  <c r="D4" i="52"/>
  <c r="B47" i="72"/>
  <c r="F118" i="9"/>
  <c r="G118" i="9"/>
  <c r="G4" i="52"/>
  <c r="B52" i="72"/>
  <c r="D52" i="9"/>
  <c r="D53" i="9"/>
  <c r="C105" i="9"/>
  <c r="I4" i="52"/>
  <c r="H102" i="9"/>
  <c r="D7" i="53"/>
  <c r="B21" i="72"/>
  <c r="H107" i="9"/>
  <c r="H108" i="9"/>
  <c r="D15" i="53"/>
  <c r="B31" i="72"/>
  <c r="C85" i="9"/>
  <c r="C95" i="9"/>
  <c r="C97" i="9"/>
  <c r="D58" i="9"/>
  <c r="D56" i="9"/>
  <c r="M54" i="9"/>
  <c r="H101" i="9"/>
  <c r="D45" i="9"/>
  <c r="C78" i="9"/>
  <c r="C73"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<sst xmlns="http://schemas.openxmlformats.org/spreadsheetml/2006/main" count="8518" uniqueCount="3615">
  <si>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</si>
  <si>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</si>
  <si>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</si>
  <si>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</si>
  <si>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</si>
  <si>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</si>
  <si>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</si>
  <si>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</si>
  <si>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</si>
  <si>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</si>
  <si>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</si>
  <si>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</si>
  <si>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</si>
  <si>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</si>
  <si>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</si>
  <si>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</si>
  <si>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</si>
  <si>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</si>
  <si>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</si>
  <si>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</si>
  <si>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</si>
  <si>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</si>
  <si>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</si>
  <si>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</si>
  <si>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</si>
  <si>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</si>
  <si>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</si>
  <si>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</si>
  <si>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</si>
  <si>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</si>
  <si>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</si>
  <si>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</si>
  <si>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</si>
  <si>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</si>
  <si>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</si>
  <si>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</si>
  <si>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</si>
  <si>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</si>
  <si>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</si>
  <si>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</si>
  <si>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</si>
  <si>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</si>
  <si>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</si>
  <si>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</si>
  <si>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</si>
  <si>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</si>
  <si>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</si>
  <si>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</si>
  <si>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</si>
  <si>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</si>
  <si>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</si>
  <si>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</si>
  <si>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</si>
  <si>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</si>
  <si>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</si>
  <si>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</si>
  <si>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</si>
  <si>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</si>
  <si>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</si>
  <si>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</si>
  <si>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</si>
  <si>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</si>
  <si>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</si>
  <si>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</si>
  <si>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</si>
  <si>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</si>
  <si>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</si>
  <si>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</si>
  <si>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</si>
  <si>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</si>
  <si>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</si>
  <si>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</si>
  <si>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</si>
  <si>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</si>
  <si>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</si>
  <si>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</si>
  <si>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</si>
  <si>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</si>
  <si>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</si>
  <si>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</si>
  <si>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</si>
  <si>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</si>
  <si>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</si>
  <si>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</si>
  <si>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</si>
  <si>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</si>
  <si>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</si>
  <si>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</si>
  <si>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</si>
  <si>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</si>
  <si>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</si>
  <si>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</si>
  <si>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</si>
  <si>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</si>
  <si>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</si>
  <si>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</si>
  <si>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</si>
  <si>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</si>
  <si>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</si>
  <si>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</si>
  <si>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</si>
  <si>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</si>
  <si>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</si>
  <si>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</si>
  <si>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</si>
  <si>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</si>
  <si>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</si>
  <si>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</si>
  <si>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</si>
  <si>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</si>
  <si>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</si>
  <si>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</si>
  <si>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</si>
  <si>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</si>
  <si>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</si>
  <si>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</si>
  <si>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</si>
  <si>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</si>
  <si>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</si>
  <si>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</si>
  <si>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</si>
  <si>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</si>
  <si>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</si>
  <si>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</si>
  <si>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</si>
  <si>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</si>
  <si>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</si>
  <si>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</si>
  <si>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</si>
  <si>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</si>
  <si>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</si>
  <si>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</si>
  <si>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</si>
  <si>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</si>
  <si>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</si>
  <si>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</si>
  <si>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</si>
  <si>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</si>
  <si>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</si>
  <si>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</si>
  <si>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</si>
  <si>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</si>
  <si>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</si>
  <si>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</si>
  <si>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</si>
  <si>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</si>
  <si>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</si>
  <si>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</si>
  <si>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</si>
  <si>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</si>
  <si>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</si>
  <si>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</si>
  <si>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</si>
  <si>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</si>
  <si>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</si>
  <si>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</si>
  <si>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</si>
  <si>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</si>
  <si>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</si>
  <si>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</si>
  <si>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</si>
  <si>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</si>
  <si>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</si>
  <si>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</si>
  <si>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</si>
  <si>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</si>
  <si>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</si>
  <si>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</si>
  <si>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</si>
  <si>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</si>
  <si>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</si>
  <si>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</si>
  <si>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</si>
  <si>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</si>
  <si>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</si>
  <si>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</si>
  <si>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</si>
  <si>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</si>
  <si>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</si>
  <si>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</si>
  <si>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</si>
  <si>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</si>
  <si>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</si>
  <si>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</si>
  <si>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</si>
  <si>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</si>
  <si>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</si>
  <si>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</si>
  <si>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</si>
  <si>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</si>
  <si>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</si>
  <si>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</si>
  <si>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</si>
  <si>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</si>
  <si>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</si>
  <si>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</si>
  <si>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</si>
  <si>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</si>
  <si>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</si>
  <si>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</si>
  <si>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</si>
  <si>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</si>
  <si>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</si>
  <si>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</si>
  <si>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</si>
  <si>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</si>
  <si>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</si>
  <si>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</si>
  <si>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</si>
  <si>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</si>
  <si>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</si>
  <si>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</si>
  <si>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</si>
  <si>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</si>
  <si>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</si>
  <si>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</si>
  <si>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</si>
  <si>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</si>
  <si>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</si>
  <si>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</si>
  <si>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</si>
  <si>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</si>
  <si>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</si>
  <si>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</si>
  <si>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</si>
  <si>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</si>
  <si>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</si>
  <si>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</si>
  <si>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</si>
  <si>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</si>
  <si>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</si>
  <si>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</si>
  <si>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</si>
  <si>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</si>
  <si>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</si>
  <si>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</si>
  <si>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</si>
  <si>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</si>
  <si>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</si>
  <si>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</si>
  <si>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</si>
  <si>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</si>
  <si>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</si>
  <si>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</si>
  <si>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</si>
  <si>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</si>
  <si>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</si>
  <si>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</si>
  <si>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</si>
  <si>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</si>
  <si>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</si>
  <si>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</si>
  <si>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</si>
  <si>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</si>
  <si>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</si>
  <si>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</si>
  <si>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</si>
  <si>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</si>
  <si>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</si>
  <si>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</si>
  <si>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</si>
  <si>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</si>
  <si>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</si>
  <si>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</si>
  <si>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</si>
  <si>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</si>
  <si>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</si>
  <si>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</si>
  <si>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</si>
  <si>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</si>
  <si>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</si>
  <si>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</si>
  <si>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</si>
  <si>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</si>
  <si>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</si>
  <si>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</si>
  <si>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</si>
  <si>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</si>
  <si>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</si>
  <si>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</si>
  <si>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</si>
  <si>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</si>
  <si>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</si>
  <si>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</si>
  <si>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</si>
  <si>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</si>
  <si>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</si>
  <si>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</si>
  <si>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</si>
  <si>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</si>
  <si>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</si>
  <si>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</si>
  <si>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</si>
  <si>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</si>
  <si>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</si>
  <si>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</si>
  <si>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</si>
  <si>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</si>
  <si>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</si>
  <si>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</si>
  <si>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</si>
  <si>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</si>
  <si>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</si>
  <si>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</si>
  <si>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</si>
  <si>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</si>
  <si>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</si>
  <si>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</si>
  <si>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</si>
  <si>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</si>
  <si>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</si>
  <si>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</si>
  <si>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</si>
  <si>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</si>
  <si>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</si>
  <si>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</si>
  <si>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</si>
  <si>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</si>
  <si>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</si>
  <si>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</si>
  <si>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</si>
  <si>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</si>
  <si>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</si>
  <si>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</si>
  <si>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</si>
  <si>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</si>
  <si>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</si>
  <si>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</si>
  <si>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</si>
  <si>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</si>
  <si>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</si>
  <si>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</si>
  <si>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</si>
  <si>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</si>
  <si>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</si>
  <si>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</si>
  <si>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</si>
  <si>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</si>
  <si>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</si>
  <si>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</si>
  <si>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</si>
  <si>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</si>
  <si>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</si>
  <si>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</si>
  <si>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</si>
  <si>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</si>
  <si>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</si>
  <si>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</si>
  <si>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</si>
  <si>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</si>
  <si>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</si>
  <si>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</si>
  <si>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</si>
  <si>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</si>
  <si>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</si>
  <si>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</si>
  <si>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</si>
  <si>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</si>
  <si>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</si>
  <si>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</si>
  <si>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</si>
  <si>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</si>
  <si>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</si>
  <si>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</si>
  <si>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</si>
  <si>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</si>
  <si>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</si>
  <si>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</si>
  <si>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</si>
  <si>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</si>
  <si>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</si>
  <si>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</si>
  <si>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</si>
  <si>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</si>
  <si>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</si>
  <si>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</si>
  <si>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</si>
  <si>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</si>
  <si>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</si>
  <si>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</si>
  <si>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</si>
  <si>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</si>
  <si>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</si>
  <si>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</si>
  <si>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</si>
  <si>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</si>
  <si>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</si>
  <si>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</si>
  <si>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</si>
  <si>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</si>
  <si>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</si>
  <si>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</si>
  <si>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</si>
  <si>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</si>
  <si>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</si>
  <si>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</si>
  <si>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</si>
  <si>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</si>
  <si>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</si>
  <si>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</si>
  <si>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</si>
  <si>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</si>
  <si>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</si>
  <si>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</si>
  <si>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</si>
  <si>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</si>
  <si>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</si>
  <si>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</si>
  <si>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</si>
  <si>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</si>
  <si>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</si>
  <si>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</si>
  <si>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</si>
  <si>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</si>
  <si>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</si>
  <si>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</si>
  <si>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</si>
  <si>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</si>
  <si>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</si>
  <si>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</si>
  <si>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</si>
  <si>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</si>
  <si>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</si>
  <si>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</si>
  <si>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</si>
  <si>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</si>
  <si>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</si>
  <si>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</si>
  <si>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</si>
  <si>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</si>
  <si>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</si>
  <si>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</si>
  <si>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</si>
  <si>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</si>
  <si>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</si>
  <si>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</si>
  <si>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</si>
  <si>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</si>
  <si>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</si>
  <si>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</si>
  <si>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</si>
  <si>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</si>
  <si>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</si>
  <si>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</si>
  <si>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</si>
  <si>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</si>
  <si>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</si>
  <si>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</si>
  <si>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</si>
  <si>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</si>
  <si>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</si>
  <si>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</si>
  <si>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</si>
  <si>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</si>
  <si>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</si>
  <si>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</si>
  <si>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</si>
  <si>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</si>
  <si>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</si>
  <si>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</si>
  <si>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</si>
  <si>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</si>
  <si>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</si>
  <si>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</si>
  <si>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</si>
  <si>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</si>
  <si>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</si>
  <si>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</si>
  <si>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</si>
  <si>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</si>
  <si>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</si>
  <si>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</si>
  <si>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</si>
  <si>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</si>
  <si>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</si>
  <si>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</si>
  <si>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</si>
  <si>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</si>
  <si>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</si>
  <si>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</si>
  <si>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</si>
  <si>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</si>
  <si>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</si>
  <si>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</si>
  <si>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</si>
  <si>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</si>
  <si>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</si>
  <si>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</si>
  <si>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</si>
  <si>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</si>
  <si>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</si>
  <si>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</si>
  <si>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</si>
  <si>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</si>
  <si>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</si>
  <si>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</si>
  <si>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</si>
  <si>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</si>
  <si>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</si>
  <si>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</si>
  <si>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</si>
  <si>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</si>
  <si>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</si>
  <si>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</si>
  <si>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</si>
  <si>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</si>
  <si>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</si>
  <si>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</si>
  <si>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</si>
  <si>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</si>
  <si>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</si>
  <si>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</si>
  <si>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</si>
  <si>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</si>
  <si>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</si>
  <si>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</si>
  <si>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</si>
  <si>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</si>
  <si>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</si>
  <si>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</si>
  <si>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</si>
  <si>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</si>
  <si>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</si>
  <si>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</si>
  <si>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</si>
  <si>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</si>
  <si>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</si>
  <si>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</si>
  <si>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</si>
  <si>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</si>
  <si>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</si>
  <si>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</si>
  <si>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</si>
  <si>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</si>
  <si>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</si>
  <si>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</si>
  <si>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</si>
  <si>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</si>
  <si>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</si>
  <si>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</si>
  <si>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</si>
  <si>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</si>
  <si>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</si>
  <si>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</si>
  <si>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</si>
  <si>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</si>
  <si>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</si>
  <si>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</si>
  <si>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</si>
  <si>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</si>
  <si>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</si>
  <si>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</si>
  <si>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</si>
  <si>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</si>
  <si>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</si>
  <si>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</si>
  <si>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</si>
  <si>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</si>
  <si>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</si>
  <si>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</si>
  <si>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</si>
  <si>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</si>
  <si>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</si>
  <si>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</si>
  <si>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</si>
  <si>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</si>
  <si>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</si>
  <si>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</si>
  <si>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</si>
  <si>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</si>
  <si>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</si>
  <si>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</si>
  <si>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</si>
  <si>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</si>
  <si>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</si>
  <si>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</si>
  <si>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</si>
  <si>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</si>
  <si>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</si>
  <si>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</si>
  <si>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</si>
  <si>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</si>
  <si>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</si>
  <si>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</si>
  <si>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</si>
  <si>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</si>
  <si>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</si>
  <si>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</si>
  <si>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</si>
  <si>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</si>
  <si>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</si>
  <si>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</si>
  <si>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</si>
  <si>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</si>
  <si>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</si>
  <si>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</si>
  <si>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</si>
  <si>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</si>
  <si>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</si>
  <si>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</si>
  <si>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</si>
  <si>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</si>
  <si>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</si>
  <si>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</si>
  <si>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</si>
  <si>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</si>
  <si>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</si>
  <si>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</si>
  <si>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</si>
  <si>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</si>
  <si>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</si>
  <si>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</si>
  <si>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</si>
  <si>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</si>
  <si>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</si>
  <si>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</si>
  <si>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</si>
  <si>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</si>
  <si>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</si>
  <si>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</si>
  <si>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</si>
  <si>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</si>
  <si>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</si>
  <si>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</si>
  <si>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</si>
  <si>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</si>
  <si>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</si>
  <si>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</si>
  <si>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</si>
  <si>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</si>
  <si>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</si>
  <si>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</si>
  <si>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</si>
  <si>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</si>
  <si>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</si>
  <si>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</si>
  <si>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</si>
  <si>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</si>
  <si>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</si>
  <si>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</si>
  <si>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</si>
  <si>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</si>
  <si>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</si>
  <si>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</si>
  <si>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</si>
  <si>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</si>
  <si>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</si>
  <si>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</si>
  <si>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</si>
  <si>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</si>
  <si>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</si>
  <si>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</si>
  <si>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</si>
  <si>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</si>
  <si>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</si>
  <si>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</si>
  <si>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</si>
  <si>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</si>
  <si>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</si>
  <si>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</si>
  <si>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</si>
  <si>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</si>
  <si>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</si>
  <si>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</si>
  <si>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</si>
  <si>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</si>
  <si>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</si>
  <si>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</si>
  <si>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</si>
  <si>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</si>
  <si>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</si>
  <si>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</si>
  <si>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</si>
  <si>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</si>
  <si>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</si>
  <si>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</si>
  <si>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</si>
  <si>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</si>
  <si>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</si>
  <si>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</si>
  <si>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</si>
  <si>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</si>
  <si>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</si>
  <si>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</si>
  <si>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</si>
  <si>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</si>
  <si>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</si>
  <si>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</si>
  <si>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</si>
  <si>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</si>
  <si>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</si>
  <si>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</si>
  <si>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</si>
  <si>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</si>
  <si>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</si>
  <si>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</si>
  <si>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</si>
  <si>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</si>
  <si>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</si>
  <si>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</si>
  <si>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</si>
  <si>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</si>
  <si>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</si>
  <si>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</si>
  <si>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</si>
  <si>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</si>
  <si>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</si>
  <si>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</si>
  <si>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</si>
  <si>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</si>
  <si>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</si>
  <si>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</si>
  <si>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</si>
  <si>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</si>
  <si>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</si>
  <si>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</si>
  <si>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</si>
  <si>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</si>
  <si>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</si>
  <si>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</si>
  <si>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</si>
  <si>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</si>
  <si>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</si>
  <si>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</si>
  <si>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</si>
  <si>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</si>
  <si>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</si>
  <si>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</si>
  <si>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</si>
  <si>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</si>
  <si>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</si>
  <si>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</si>
  <si>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</si>
  <si>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</si>
  <si>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</si>
  <si>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</si>
  <si>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</si>
  <si>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</si>
  <si>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</si>
  <si>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</si>
  <si>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</si>
  <si>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</si>
  <si>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</si>
  <si>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</si>
  <si>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</si>
  <si>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</si>
  <si>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</si>
  <si>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</si>
  <si>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</si>
  <si>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</si>
  <si>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</si>
  <si>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</si>
  <si>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</si>
  <si>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</si>
  <si>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</si>
  <si>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</si>
  <si>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</si>
  <si>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</si>
  <si>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</si>
  <si>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</si>
  <si>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</si>
  <si>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</si>
  <si>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</si>
  <si>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</si>
  <si>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</si>
  <si>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</si>
  <si>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</si>
  <si>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</si>
  <si>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</si>
  <si>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</si>
  <si>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</si>
  <si>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</si>
  <si>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</si>
  <si>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</si>
  <si>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</si>
  <si>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</si>
  <si>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</si>
  <si>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</si>
  <si>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</si>
  <si>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</si>
  <si>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</si>
  <si>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</si>
  <si>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</si>
  <si>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</si>
  <si>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</si>
  <si>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</si>
  <si>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</si>
  <si>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</si>
  <si>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</si>
  <si>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</si>
  <si>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</si>
  <si>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</si>
  <si>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</si>
  <si>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</si>
  <si>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</si>
  <si>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</si>
  <si>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</si>
  <si>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</si>
  <si>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</si>
  <si>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</si>
  <si>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</si>
  <si>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</si>
  <si>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</si>
  <si>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</si>
  <si>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</si>
  <si>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</si>
  <si>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</si>
  <si>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</si>
  <si>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</si>
  <si>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</si>
  <si>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</si>
  <si>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</si>
  <si>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</si>
  <si>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</si>
  <si>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</si>
  <si>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</si>
  <si>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</si>
  <si>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</si>
  <si>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</si>
  <si>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</si>
  <si>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</si>
  <si>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</si>
  <si>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</si>
  <si>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</si>
  <si>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</si>
  <si>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</si>
  <si>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</si>
  <si>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</si>
  <si>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</si>
  <si>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</si>
  <si>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</si>
  <si>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</si>
  <si>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</si>
  <si>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</si>
  <si>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</si>
  <si>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</si>
  <si>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</si>
  <si>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</si>
  <si>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</si>
  <si>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</si>
  <si>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</si>
  <si>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</si>
  <si>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</si>
  <si>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</si>
  <si>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</si>
  <si>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</si>
  <si>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</si>
  <si>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</si>
  <si>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</si>
  <si>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</si>
  <si>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</si>
  <si>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</si>
  <si>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</si>
  <si>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</si>
  <si>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</si>
  <si>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</si>
  <si>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</si>
  <si>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</si>
  <si>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</si>
  <si>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</si>
  <si>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</si>
  <si>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</si>
  <si>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</si>
  <si>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</si>
  <si>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</si>
  <si>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</si>
  <si>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</si>
  <si>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</si>
  <si>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</si>
  <si>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</si>
  <si>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</si>
  <si>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</si>
  <si>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</si>
  <si>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</si>
  <si>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</si>
  <si>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</si>
  <si>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</si>
  <si>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</si>
  <si>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</si>
  <si>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</si>
  <si>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</si>
  <si>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</si>
  <si>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</si>
  <si>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</si>
  <si>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</si>
  <si>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</si>
  <si>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</si>
  <si>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</si>
  <si>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</si>
  <si>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</si>
  <si>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</si>
  <si>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</si>
  <si>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</si>
  <si>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</si>
  <si>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</si>
  <si>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</si>
  <si>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</si>
  <si>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</si>
  <si>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</si>
  <si>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</si>
  <si>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</si>
  <si>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</si>
  <si>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</si>
  <si>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</si>
  <si>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</si>
  <si>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</si>
  <si>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</si>
  <si>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</si>
  <si>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</si>
  <si>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</si>
  <si>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</si>
  <si>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</si>
  <si>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</si>
  <si>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</si>
  <si>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</si>
  <si>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</si>
  <si>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</si>
  <si>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</si>
  <si>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</si>
  <si>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</si>
  <si>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</si>
  <si>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</si>
  <si>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</si>
  <si>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</si>
  <si>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</si>
  <si>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</si>
  <si>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</si>
  <si>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</si>
  <si>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</si>
  <si>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</si>
  <si>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</si>
  <si>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</si>
  <si>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</si>
  <si>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</si>
  <si>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</si>
  <si>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</si>
  <si>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</si>
  <si>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</si>
  <si>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</si>
  <si>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</si>
  <si>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</si>
  <si>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</si>
  <si>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</si>
  <si>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</si>
  <si>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</si>
  <si>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</si>
  <si>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</si>
  <si>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</si>
  <si>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</si>
  <si>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</si>
  <si>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</si>
  <si>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</si>
  <si>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</si>
  <si>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</si>
  <si>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</si>
  <si>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</si>
  <si>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</si>
  <si>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</si>
  <si>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</si>
  <si>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</si>
  <si>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</si>
  <si>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</si>
  <si>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</si>
  <si>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</si>
  <si>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</si>
  <si>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</si>
  <si>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</si>
  <si>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</si>
  <si>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</si>
  <si>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</si>
  <si>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</si>
  <si>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</si>
  <si>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</si>
  <si>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</si>
  <si>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</si>
  <si>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</si>
  <si>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</si>
  <si>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</si>
  <si>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</si>
  <si>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</si>
  <si>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</si>
  <si>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</si>
  <si>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</si>
  <si>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</si>
  <si>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</si>
  <si>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</si>
  <si>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</si>
  <si>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</si>
  <si>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</si>
  <si>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</si>
  <si>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</si>
  <si>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</si>
  <si>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</si>
  <si>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</si>
  <si>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</si>
  <si>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</si>
  <si>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</si>
  <si>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</si>
  <si>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</si>
  <si>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</si>
  <si>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</si>
  <si>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</si>
  <si>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</si>
  <si>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</si>
  <si>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</si>
  <si>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</si>
  <si>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</si>
  <si>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</si>
  <si>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</si>
  <si>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</si>
  <si>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</si>
  <si>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</si>
  <si>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</si>
  <si>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</si>
  <si>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</si>
  <si>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</si>
  <si>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</si>
  <si>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</si>
  <si>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</si>
  <si>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</si>
  <si>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</si>
  <si>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</si>
  <si>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</si>
  <si>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</si>
  <si>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</si>
  <si>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</si>
  <si>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</si>
  <si>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</si>
  <si>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</si>
  <si>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</si>
  <si>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</si>
  <si>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</si>
  <si>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</si>
  <si>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</si>
  <si>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</si>
  <si>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</si>
  <si>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</si>
  <si>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</si>
  <si>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</si>
  <si>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</si>
  <si>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</si>
  <si>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</si>
  <si>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</si>
  <si>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</si>
  <si>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</si>
  <si>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</si>
  <si>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</si>
  <si>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</si>
  <si>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</si>
  <si>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</si>
  <si>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</si>
  <si>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</si>
  <si>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</si>
  <si>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</si>
  <si>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</si>
  <si>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</si>
  <si>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</si>
  <si>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</si>
  <si>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</si>
  <si>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</si>
  <si>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</si>
  <si>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</si>
  <si>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</si>
  <si>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</si>
  <si>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</si>
  <si>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</si>
  <si>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</si>
  <si>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</si>
  <si>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</si>
  <si>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</si>
  <si>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</si>
  <si>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</si>
  <si>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</si>
  <si>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</si>
  <si>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</si>
  <si>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</si>
  <si>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</si>
  <si>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</si>
  <si>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</si>
  <si>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</si>
  <si>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</si>
  <si>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</si>
  <si>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</si>
  <si>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</si>
  <si>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</si>
  <si>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</si>
  <si>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</si>
  <si>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</si>
  <si>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</si>
  <si>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</si>
  <si>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</si>
  <si>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</si>
  <si>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</si>
  <si>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</si>
  <si>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</si>
  <si>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</si>
  <si>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</si>
  <si>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</si>
  <si>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</si>
  <si>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</si>
  <si>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</si>
  <si>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</si>
  <si>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</si>
  <si>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</si>
  <si>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</si>
  <si>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</si>
  <si>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</si>
  <si>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</si>
  <si>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</si>
  <si>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</si>
  <si>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</si>
  <si>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</si>
  <si>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</si>
  <si>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</si>
  <si>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</si>
  <si>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</si>
  <si>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</si>
  <si>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</si>
  <si>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</si>
  <si>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</si>
  <si>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</si>
  <si>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</si>
  <si>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</si>
  <si>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</si>
  <si>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</si>
  <si>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</si>
  <si>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</si>
  <si>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</si>
  <si>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</si>
  <si>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</si>
  <si>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</si>
  <si>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</si>
  <si>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</si>
  <si>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</si>
  <si>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</si>
  <si>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</si>
  <si>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</si>
  <si>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</si>
  <si>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</si>
  <si>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</si>
  <si>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</si>
  <si>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</si>
  <si>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</si>
  <si>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</si>
  <si>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</si>
  <si>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</si>
  <si>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</si>
  <si>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</si>
  <si>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</si>
  <si>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</si>
  <si>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</si>
  <si>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</si>
  <si>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</si>
  <si>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</si>
  <si>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</si>
  <si>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</si>
  <si>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</si>
  <si>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</si>
  <si>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</si>
  <si>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</si>
  <si>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</si>
  <si>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</si>
  <si>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</si>
  <si>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</si>
  <si>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</si>
  <si>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</si>
  <si>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</si>
  <si>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</si>
  <si>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</si>
  <si>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</si>
  <si>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</si>
  <si>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</si>
  <si>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</si>
  <si>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</si>
  <si>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</si>
  <si>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</si>
  <si>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</si>
  <si>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</si>
  <si>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</si>
  <si>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</si>
  <si>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</si>
  <si>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</si>
  <si>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</si>
  <si>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</si>
  <si>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</si>
  <si>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</si>
  <si>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</si>
  <si>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</si>
  <si>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</si>
  <si>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</si>
  <si>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</si>
  <si>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</si>
  <si>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</si>
  <si>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</si>
  <si>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</si>
  <si>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</si>
  <si>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</si>
  <si>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</si>
  <si>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</si>
  <si>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</si>
  <si>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</si>
  <si>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</si>
  <si>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</si>
  <si>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</si>
  <si>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</si>
  <si>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</si>
  <si>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</si>
  <si>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</si>
  <si>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</si>
  <si>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</si>
  <si>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</si>
  <si>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</si>
  <si>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</si>
  <si>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</si>
  <si>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</si>
  <si>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</si>
  <si>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</si>
  <si>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</si>
  <si>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</si>
  <si>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</si>
  <si>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</si>
  <si>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</si>
  <si>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</si>
  <si>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</si>
  <si>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</si>
  <si>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</si>
  <si>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</si>
  <si>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</si>
  <si>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</si>
  <si>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</si>
  <si>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</si>
  <si>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</si>
  <si>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</si>
  <si>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</si>
  <si>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</si>
  <si>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</si>
  <si>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</si>
  <si>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</si>
  <si>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</si>
  <si>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</si>
  <si>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</si>
  <si>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</si>
  <si>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</si>
  <si>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</si>
  <si>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</si>
  <si>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</si>
  <si>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</si>
  <si>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</si>
  <si>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</si>
  <si>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</si>
  <si>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</si>
  <si>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</si>
  <si>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</si>
  <si>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</si>
  <si>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</si>
  <si>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</si>
  <si>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</si>
  <si>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</si>
  <si>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</si>
  <si>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</si>
  <si>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</si>
  <si>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</si>
  <si>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</si>
  <si>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</si>
  <si>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</si>
  <si>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</si>
  <si>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</si>
  <si>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</si>
  <si>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</si>
  <si>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</si>
  <si>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</si>
  <si>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</si>
  <si>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</si>
  <si>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</si>
  <si>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</si>
  <si>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</si>
  <si>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</si>
  <si>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</si>
  <si>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</si>
  <si>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</si>
  <si>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</si>
  <si>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</si>
  <si>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</si>
  <si>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</si>
  <si>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</si>
  <si>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</si>
  <si>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</si>
  <si>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</si>
  <si>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</si>
  <si>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</si>
  <si>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</si>
  <si>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</si>
  <si>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</si>
  <si>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</si>
  <si>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</si>
  <si>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</si>
  <si>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</si>
  <si>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</si>
  <si>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</si>
  <si>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</si>
  <si>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</si>
  <si>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</si>
  <si>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</si>
  <si>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</si>
  <si>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</si>
  <si>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</si>
  <si>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</si>
  <si>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</si>
  <si>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</si>
  <si>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</si>
  <si>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</si>
  <si>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</si>
  <si>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</si>
  <si>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</si>
  <si>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</si>
  <si>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</si>
  <si>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</si>
  <si>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</si>
  <si>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</si>
  <si>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</si>
  <si>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</si>
  <si>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</si>
  <si>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</si>
  <si>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</si>
  <si>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</si>
  <si>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</si>
  <si>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</si>
  <si>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</si>
  <si>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</si>
  <si>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</si>
  <si>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</si>
  <si>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</si>
  <si>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</si>
  <si>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</si>
  <si>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</si>
  <si>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</si>
  <si>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</si>
  <si>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</si>
  <si>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</si>
  <si>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</si>
  <si>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</si>
  <si>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</si>
  <si>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</si>
  <si>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</si>
  <si>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</si>
  <si>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</si>
  <si>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</si>
  <si>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</si>
  <si>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</si>
  <si>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</si>
  <si>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</si>
  <si>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</si>
  <si>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</si>
  <si>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</si>
  <si>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</si>
  <si>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</si>
  <si>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</si>
  <si>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</si>
  <si>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</si>
  <si>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</si>
  <si>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</si>
  <si>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</si>
  <si>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</si>
  <si>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</si>
  <si>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</si>
  <si>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</si>
  <si>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</si>
  <si>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</si>
  <si>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</si>
  <si>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</si>
  <si>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</si>
  <si>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</si>
  <si>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</si>
  <si>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</si>
  <si>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</si>
  <si>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</si>
  <si>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</si>
  <si>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</si>
  <si>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</si>
  <si>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</si>
  <si>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</si>
  <si>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</si>
  <si>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</si>
  <si>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</si>
  <si>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</si>
  <si>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</si>
  <si>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</si>
  <si>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</si>
  <si>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</si>
  <si>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</si>
  <si>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</si>
  <si>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</si>
  <si>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</si>
  <si>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</si>
  <si>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</si>
  <si>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</si>
  <si>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</si>
  <si>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</si>
  <si>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</si>
  <si>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</si>
  <si>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</si>
  <si>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</si>
  <si>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</si>
  <si>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</si>
  <si>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</si>
  <si>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</si>
  <si>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</si>
  <si>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</si>
  <si>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</si>
  <si>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</si>
  <si>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</si>
  <si>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</si>
  <si>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</si>
  <si>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</si>
  <si>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</si>
  <si>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</si>
  <si>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</si>
  <si>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</si>
  <si>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</si>
  <si>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</si>
  <si>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</si>
  <si>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</si>
  <si>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</si>
  <si>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</si>
  <si>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</si>
  <si>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</si>
  <si>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</si>
  <si>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</si>
  <si>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</si>
  <si>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</si>
  <si>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</si>
  <si>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</si>
  <si>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</si>
  <si>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</si>
  <si>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</si>
  <si>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</si>
  <si>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</si>
  <si>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</si>
  <si>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</si>
  <si>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</si>
  <si>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</si>
  <si>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</si>
  <si>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</si>
  <si>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</si>
  <si>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</si>
  <si>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</si>
  <si>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</si>
  <si>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</si>
  <si>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</si>
  <si>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</si>
  <si>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</si>
  <si>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</si>
  <si>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</si>
  <si>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</si>
  <si>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</si>
  <si>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</si>
  <si>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</si>
  <si>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</si>
  <si>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</si>
  <si>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</si>
  <si>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</si>
  <si>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</si>
  <si>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</si>
  <si>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</si>
  <si>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</si>
  <si>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</si>
  <si>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</si>
  <si>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</si>
  <si>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</si>
  <si>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</si>
  <si>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</si>
  <si>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</si>
  <si>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</si>
  <si>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</si>
  <si>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</si>
  <si>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</si>
  <si>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</si>
  <si>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</si>
  <si>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</si>
  <si>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</si>
  <si>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</si>
  <si>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</si>
  <si>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</si>
  <si>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</si>
  <si>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</si>
  <si>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</si>
  <si>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</si>
  <si>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</si>
  <si>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</si>
  <si>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</si>
  <si>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</si>
  <si>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</si>
  <si>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</si>
  <si>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</si>
  <si>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</si>
  <si>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</si>
  <si>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</si>
  <si>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</si>
  <si>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</si>
  <si>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</si>
  <si>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</si>
  <si>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</si>
  <si>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</si>
  <si>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</si>
  <si>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</si>
  <si>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</si>
  <si>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</si>
  <si>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</si>
  <si>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</si>
  <si>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</si>
  <si>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</si>
  <si>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</si>
  <si>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</si>
  <si>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</si>
  <si>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</si>
  <si>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</si>
  <si>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</si>
  <si>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</si>
  <si>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</si>
  <si>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</si>
  <si>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</si>
  <si>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</si>
  <si>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</si>
  <si>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</si>
  <si>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</si>
  <si>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</si>
  <si>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</si>
  <si>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</si>
  <si>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</si>
  <si>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</si>
  <si>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</si>
  <si>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</si>
  <si>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</si>
  <si>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</si>
  <si>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</si>
  <si>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</si>
  <si>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</si>
  <si>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</si>
  <si>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</si>
  <si>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</si>
  <si>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</si>
  <si>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</si>
  <si>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</si>
  <si>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</si>
  <si>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</si>
  <si>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</si>
  <si>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</si>
  <si>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</si>
  <si>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</si>
  <si>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</si>
  <si>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</si>
  <si>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</si>
  <si>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</si>
  <si>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</si>
  <si>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</si>
  <si>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</si>
  <si>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</si>
  <si>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</si>
  <si>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</si>
  <si>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</si>
  <si>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</si>
  <si>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</si>
  <si>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</si>
  <si>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</si>
  <si>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</si>
  <si>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</si>
  <si>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</si>
  <si>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</si>
  <si>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</si>
  <si>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</si>
  <si>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</si>
  <si>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</si>
  <si>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</si>
  <si>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</si>
  <si>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</si>
  <si>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</si>
  <si>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</si>
  <si>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</si>
  <si>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</si>
  <si>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</si>
  <si>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</si>
  <si>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</si>
  <si>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</si>
  <si>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</si>
  <si>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</si>
  <si>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</si>
  <si>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</si>
  <si>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</si>
  <si>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</si>
  <si>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</si>
  <si>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</si>
  <si>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</si>
  <si>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</si>
  <si>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</si>
  <si>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</si>
  <si>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</si>
  <si>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</si>
  <si>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</si>
  <si>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</si>
  <si>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</si>
  <si>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</si>
  <si>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</si>
  <si>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</si>
  <si>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</si>
  <si>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</si>
  <si>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</si>
  <si>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</si>
  <si>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</si>
  <si>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</si>
  <si>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</si>
  <si>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</si>
  <si>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</si>
  <si>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</si>
  <si>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</si>
  <si>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</si>
  <si>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</si>
  <si>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</si>
  <si>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</si>
  <si>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</si>
  <si>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</si>
  <si>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</si>
  <si>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</si>
  <si>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</si>
  <si>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</si>
  <si>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</si>
  <si>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</si>
  <si>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</si>
  <si>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</si>
  <si>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</si>
  <si>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</si>
  <si>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</si>
  <si>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</si>
  <si>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</si>
  <si>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</si>
  <si>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</si>
  <si>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</si>
  <si>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</si>
  <si>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</si>
  <si>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</si>
  <si>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</si>
  <si>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</si>
  <si>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</si>
  <si>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</si>
  <si>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</si>
  <si>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</si>
  <si>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</si>
  <si>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</si>
  <si>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</si>
  <si>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</si>
  <si>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</si>
  <si>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</si>
  <si>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</si>
  <si>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</si>
  <si>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</si>
  <si>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</si>
  <si>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</si>
  <si>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</si>
  <si>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</si>
  <si>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</si>
  <si>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</si>
  <si>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</si>
  <si>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</si>
  <si>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</si>
  <si>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</si>
  <si>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</si>
  <si>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</si>
  <si>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</si>
  <si>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</si>
  <si>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</si>
  <si>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</si>
  <si>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</si>
  <si>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</si>
  <si>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</si>
  <si>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</si>
  <si>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</si>
  <si>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</si>
  <si>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</si>
  <si>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</si>
  <si>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</si>
  <si>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</si>
  <si>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</si>
  <si>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</si>
  <si>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</si>
  <si>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</si>
  <si>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</si>
  <si>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</si>
  <si>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</si>
  <si>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</si>
  <si>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</si>
  <si>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</si>
  <si>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</si>
  <si>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</si>
  <si>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</si>
  <si>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</si>
  <si>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</si>
  <si>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</si>
  <si>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</si>
  <si>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</si>
  <si>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</si>
  <si>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</si>
  <si>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</si>
  <si>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</si>
  <si>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</si>
  <si>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</si>
  <si>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</si>
  <si>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</si>
  <si>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</si>
  <si>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</si>
  <si>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</si>
  <si>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</si>
  <si>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</si>
  <si>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</si>
  <si>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</si>
  <si>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</si>
  <si>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</si>
  <si>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</si>
  <si>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</si>
  <si>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</si>
  <si>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</si>
  <si>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</si>
  <si>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</si>
  <si>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</si>
  <si>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</si>
  <si>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</si>
  <si>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</si>
  <si>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</si>
  <si>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</si>
  <si>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</si>
  <si>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</si>
  <si>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</si>
  <si>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</si>
  <si>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</si>
  <si>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</si>
  <si>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</si>
  <si>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</si>
  <si>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</si>
  <si>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</si>
  <si>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</si>
  <si>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</si>
  <si>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</si>
  <si>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</si>
  <si>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</si>
  <si>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</si>
  <si>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</si>
  <si>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</si>
  <si>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</si>
  <si>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</si>
  <si>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</si>
  <si>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</si>
  <si>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</si>
  <si>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</si>
  <si>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</si>
  <si>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</si>
  <si>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</si>
  <si>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</si>
  <si>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</si>
  <si>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</si>
  <si>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</si>
  <si>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</si>
  <si>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</si>
  <si>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</si>
  <si>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</si>
  <si>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</si>
  <si>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</si>
  <si>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</si>
  <si>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</si>
  <si>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</si>
  <si>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</si>
  <si>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</si>
  <si>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</si>
  <si>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</si>
  <si>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</si>
  <si>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</si>
  <si>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</si>
  <si>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</si>
  <si>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</si>
  <si>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</si>
  <si>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</si>
  <si>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</si>
  <si>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</si>
  <si>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</si>
  <si>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</si>
  <si>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</si>
  <si>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</si>
  <si>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</si>
  <si>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</si>
  <si>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</si>
  <si>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</si>
  <si>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</si>
  <si>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</si>
  <si>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</si>
  <si>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</si>
  <si>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</si>
  <si>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</si>
  <si>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</si>
  <si>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</si>
  <si>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</si>
  <si>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</si>
  <si>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</si>
  <si>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</si>
  <si>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</si>
  <si>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</si>
  <si>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</si>
  <si>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</si>
  <si>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</si>
  <si>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</si>
  <si>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</si>
  <si>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</si>
  <si>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</si>
  <si>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</si>
  <si>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</si>
  <si>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</si>
  <si>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</si>
  <si>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</si>
  <si>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</si>
  <si>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</si>
  <si>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</si>
  <si>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</si>
  <si>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</si>
  <si>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</si>
  <si>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</si>
  <si>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</si>
  <si>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</si>
  <si>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</si>
  <si>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</si>
  <si>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</si>
  <si>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</si>
  <si>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</si>
  <si>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</si>
  <si>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</si>
  <si>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</si>
  <si>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</si>
  <si>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</si>
  <si>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</si>
  <si>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</si>
  <si>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</si>
  <si>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</si>
  <si>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</si>
  <si>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</si>
  <si>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</si>
  <si>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</si>
  <si>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</si>
  <si>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</si>
  <si>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</si>
  <si>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</si>
  <si>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</si>
  <si>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</si>
  <si>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</si>
  <si>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</si>
  <si>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</si>
  <si>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</si>
  <si>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</si>
  <si>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</si>
  <si>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</si>
  <si>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</si>
  <si>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</si>
  <si>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</si>
  <si>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</si>
  <si>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</si>
  <si>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</si>
  <si>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</si>
  <si>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</si>
  <si>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</si>
  <si>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</si>
  <si>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</si>
  <si>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</si>
  <si>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</si>
  <si>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</si>
  <si>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</si>
  <si>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</si>
  <si>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</si>
  <si>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</si>
  <si>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</si>
  <si>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</si>
  <si>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</si>
  <si>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</si>
  <si>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</si>
  <si>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</si>
  <si>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</si>
  <si>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</si>
  <si>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</si>
  <si>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</si>
  <si>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</si>
  <si>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</si>
  <si>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</si>
  <si>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</si>
  <si>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</si>
  <si>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</si>
  <si>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</si>
  <si>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</si>
  <si>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</si>
  <si>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</si>
  <si>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</si>
  <si>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</si>
  <si>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</si>
  <si>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</si>
  <si>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</si>
  <si>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</si>
  <si>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</si>
  <si>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</si>
  <si>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</si>
  <si>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</si>
  <si>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</si>
  <si>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</si>
  <si>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</si>
  <si>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</si>
  <si>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</si>
  <si>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</si>
  <si>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</si>
  <si>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</si>
  <si>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</si>
  <si>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</si>
  <si>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</si>
  <si>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</si>
  <si>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</si>
  <si>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</si>
  <si>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</si>
  <si>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</si>
  <si>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</si>
  <si>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</si>
  <si>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</si>
  <si>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</si>
  <si>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</si>
  <si>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</si>
  <si>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</si>
  <si>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</si>
  <si>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</si>
  <si>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</si>
  <si>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</si>
  <si>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</si>
  <si>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</si>
  <si>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</si>
  <si>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</si>
  <si>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</si>
  <si>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</si>
  <si>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</si>
  <si>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</si>
  <si>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</si>
  <si>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</si>
  <si>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</si>
  <si>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</si>
  <si>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</si>
  <si>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</si>
  <si>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</si>
  <si>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</si>
  <si>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</si>
  <si>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</si>
  <si>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</si>
  <si>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</si>
  <si>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</si>
  <si>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</si>
  <si>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</si>
  <si>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</si>
  <si>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</si>
  <si>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</si>
  <si>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</si>
  <si>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</si>
  <si>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</si>
  <si>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</si>
  <si>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</si>
  <si>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</si>
  <si>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</si>
  <si>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</si>
  <si>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</si>
  <si>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</si>
  <si>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</si>
  <si>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</si>
  <si>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</si>
  <si>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</si>
  <si>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</si>
  <si>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</si>
  <si>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</si>
  <si>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</si>
  <si>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</si>
  <si>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</si>
  <si>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</si>
  <si>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</si>
  <si>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</si>
  <si>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</si>
  <si>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</si>
  <si>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</si>
  <si>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</si>
  <si>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</si>
  <si>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</si>
  <si>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</si>
  <si>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</si>
  <si>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</si>
  <si>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</si>
  <si>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</si>
  <si>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</si>
  <si>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</si>
  <si>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</si>
  <si>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</si>
  <si>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</si>
  <si>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</si>
  <si>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</si>
  <si>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</si>
  <si>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</si>
  <si>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</si>
  <si>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</si>
  <si>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</si>
  <si>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</si>
  <si>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</si>
  <si>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</si>
  <si>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</si>
  <si>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</si>
  <si>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</si>
  <si>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</si>
  <si>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</si>
  <si>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</si>
  <si>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</si>
  <si>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</si>
  <si>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</si>
  <si>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</si>
  <si>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</si>
  <si>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</si>
  <si>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</si>
  <si>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</si>
  <si>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</si>
  <si>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</si>
  <si>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</si>
  <si>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</si>
  <si>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</si>
  <si>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</si>
  <si>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</si>
  <si>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</si>
  <si>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</si>
  <si>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</si>
  <si>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</si>
  <si>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</si>
  <si>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</si>
  <si>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</si>
  <si>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</si>
  <si>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</si>
  <si>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</si>
  <si>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</si>
  <si>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</si>
  <si>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</si>
  <si>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</si>
  <si>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</si>
  <si>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</si>
  <si>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</si>
  <si>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</si>
  <si>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</si>
  <si>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</si>
  <si>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</si>
  <si>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</si>
  <si>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</si>
  <si>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</si>
  <si>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</si>
  <si>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</si>
  <si>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</si>
  <si>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</si>
  <si>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</si>
  <si>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</si>
  <si>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</si>
  <si>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</si>
  <si>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</si>
  <si>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</si>
  <si>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</si>
  <si>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</si>
  <si>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</si>
  <si>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</si>
  <si>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</si>
  <si>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</si>
  <si>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</si>
  <si>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</si>
  <si>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</si>
  <si>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</si>
  <si>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</si>
  <si>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</si>
  <si>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</si>
  <si>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</si>
  <si>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</si>
  <si>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</si>
  <si>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</si>
  <si>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</si>
  <si>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</si>
  <si>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</si>
  <si>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</si>
  <si>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</si>
  <si>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</si>
  <si>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</si>
  <si>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</si>
  <si>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</si>
  <si>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</si>
  <si>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</si>
  <si>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</si>
  <si>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</si>
  <si>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</si>
  <si>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</si>
  <si>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</si>
  <si>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</si>
  <si>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</si>
  <si>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</si>
  <si>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</si>
  <si>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</si>
  <si>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</si>
  <si>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</si>
  <si>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</si>
  <si>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</si>
  <si>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</si>
  <si>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</si>
  <si>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</si>
  <si>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</si>
  <si>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</si>
  <si>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</si>
  <si>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</si>
  <si>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</si>
  <si>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</si>
  <si>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</si>
  <si>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</si>
  <si>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</si>
  <si>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</si>
  <si>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</si>
  <si>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</si>
  <si>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</si>
  <si>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</si>
  <si>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</si>
  <si>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</si>
  <si>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</si>
  <si>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</si>
  <si>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</si>
  <si>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</si>
  <si>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</si>
  <si>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</si>
  <si>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</si>
  <si>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</si>
  <si>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</si>
  <si>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</si>
  <si>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</si>
  <si>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</si>
  <si>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</si>
  <si>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</si>
  <si>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</si>
  <si>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</si>
  <si>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</si>
  <si>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</si>
  <si>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</si>
  <si>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</si>
  <si>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</si>
  <si>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</si>
  <si>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</si>
  <si>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</si>
  <si>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</si>
  <si>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</si>
  <si>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</si>
  <si>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</si>
  <si>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</si>
  <si>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</si>
  <si>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</si>
  <si>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</si>
  <si>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</si>
  <si>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</si>
  <si>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</si>
  <si>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</si>
  <si>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</si>
  <si>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</si>
  <si>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</si>
  <si>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</si>
  <si>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</si>
  <si>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</si>
  <si>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</si>
  <si>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</si>
  <si>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</si>
  <si>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</si>
  <si>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</si>
  <si>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</si>
  <si>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</si>
  <si>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</si>
  <si>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</si>
  <si>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</si>
  <si>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</si>
  <si>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</si>
  <si>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</si>
  <si>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</si>
  <si>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</si>
  <si>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</si>
  <si>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</si>
  <si>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</si>
  <si>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</si>
  <si>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</si>
  <si>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</si>
  <si>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</si>
  <si>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</si>
  <si>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</si>
  <si>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</si>
  <si>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</si>
  <si>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</si>
  <si>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</si>
  <si>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</si>
  <si>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</si>
  <si>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</si>
  <si>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</si>
  <si>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</si>
  <si>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</si>
  <si>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</si>
  <si>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</si>
  <si>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</si>
  <si>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</si>
  <si>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</si>
  <si>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</si>
  <si>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</si>
  <si>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</si>
  <si>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</si>
  <si>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</si>
  <si>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</si>
  <si>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</si>
  <si>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</si>
  <si>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</si>
  <si>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</si>
  <si>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</si>
  <si>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</si>
  <si>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</si>
  <si>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</si>
  <si>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</si>
  <si>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</si>
  <si>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</si>
  <si>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</si>
  <si>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</si>
  <si>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</si>
  <si>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</si>
  <si>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</si>
  <si>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</si>
  <si>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</si>
  <si>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</si>
  <si>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</si>
  <si>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</si>
  <si>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</si>
  <si>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</si>
  <si>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</si>
  <si>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</si>
  <si>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</si>
  <si>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</si>
  <si>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</si>
  <si>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</si>
  <si>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</si>
  <si>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</si>
  <si>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</si>
  <si>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</si>
  <si>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</si>
  <si>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</si>
  <si>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</si>
  <si>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</si>
  <si>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</si>
  <si>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</si>
  <si>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</si>
  <si>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</si>
  <si>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</si>
  <si>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</si>
  <si>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</si>
  <si>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</si>
  <si>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</si>
  <si>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</si>
  <si>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</si>
  <si>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</si>
  <si>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</si>
  <si>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</si>
  <si>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</si>
  <si>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</si>
  <si>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</si>
  <si>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</si>
  <si>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</si>
  <si>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</si>
  <si>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</si>
  <si>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</si>
  <si>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</si>
  <si>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</si>
  <si>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</si>
  <si>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</si>
  <si>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</si>
  <si>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</si>
  <si>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</si>
  <si>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</si>
  <si>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</si>
  <si>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</si>
  <si>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</si>
  <si>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</si>
  <si>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</si>
  <si>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</si>
  <si>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</si>
  <si>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</si>
  <si>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</si>
  <si>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</si>
  <si>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</si>
  <si>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</si>
  <si>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</si>
  <si>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</si>
  <si>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</si>
  <si>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</si>
  <si>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</si>
  <si>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</si>
  <si>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</si>
  <si>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</si>
  <si>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</si>
  <si>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</si>
  <si>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</si>
  <si>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</si>
  <si>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</si>
  <si>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</si>
  <si>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</si>
  <si>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</si>
  <si>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</si>
  <si>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</si>
  <si>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</si>
  <si>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</si>
  <si>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</si>
  <si>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</si>
  <si>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</si>
  <si>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</si>
  <si>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</si>
  <si>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</si>
  <si>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</si>
  <si>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</si>
  <si>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</si>
  <si>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</si>
  <si>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</si>
  <si>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</si>
  <si>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</si>
  <si>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</si>
  <si>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</si>
  <si>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</si>
  <si>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</si>
  <si>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</si>
  <si>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</si>
  <si>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</si>
  <si>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</si>
  <si>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</si>
  <si>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</si>
  <si>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</si>
  <si>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</si>
  <si>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</si>
  <si>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</si>
  <si>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</si>
  <si>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</si>
  <si>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</si>
  <si>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</si>
  <si>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</si>
  <si>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</si>
  <si>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</si>
  <si>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</si>
  <si>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</si>
  <si>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</si>
  <si>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</si>
  <si>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</si>
  <si>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</si>
  <si>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</si>
  <si>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</si>
  <si>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</si>
  <si>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</si>
  <si>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</si>
  <si>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</si>
  <si>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</si>
  <si>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</si>
  <si>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</si>
  <si>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</si>
  <si>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</si>
  <si>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</si>
  <si>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</si>
  <si>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</si>
  <si>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</si>
  <si>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</si>
  <si>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</si>
  <si>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</si>
  <si>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</si>
  <si>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</si>
  <si>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</si>
  <si>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</si>
  <si>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</si>
  <si>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</si>
  <si>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</si>
  <si>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</si>
  <si>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</si>
  <si>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</si>
  <si>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</si>
  <si>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</si>
  <si>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</si>
  <si>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</si>
  <si>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</si>
  <si>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</si>
  <si>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</si>
  <si>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</si>
  <si>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</si>
  <si>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</si>
  <si>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</si>
  <si>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</si>
  <si>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</si>
  <si>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</si>
  <si>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</si>
  <si>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</si>
  <si>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</si>
  <si>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</si>
  <si>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</si>
  <si>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</si>
  <si>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</si>
  <si>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</si>
  <si>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</si>
  <si>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</si>
  <si>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</si>
  <si>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</si>
  <si>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</si>
  <si>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</si>
  <si>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</si>
  <si>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</si>
  <si>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</si>
  <si>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</si>
  <si>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</si>
  <si>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</si>
  <si>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</si>
  <si>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</si>
  <si>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</si>
  <si>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</si>
  <si>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</si>
  <si>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</si>
  <si>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</si>
  <si>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</si>
  <si>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</si>
  <si>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</si>
  <si>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</si>
  <si>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</si>
  <si>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</si>
  <si>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</si>
  <si>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</si>
  <si>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</si>
  <si>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</si>
  <si>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</si>
  <si>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</si>
  <si>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</si>
  <si>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</si>
  <si>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</si>
  <si>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</si>
  <si>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</si>
  <si>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</si>
  <si>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</si>
  <si>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</si>
  <si>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</si>
  <si>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</si>
  <si>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</si>
  <si>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</si>
  <si>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</si>
  <si>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</si>
  <si>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</si>
  <si>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</si>
  <si>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</si>
  <si>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</si>
  <si>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</si>
  <si>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</si>
  <si>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</si>
  <si>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</si>
  <si>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</si>
  <si>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</si>
  <si>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</si>
  <si>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</si>
  <si>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</si>
  <si>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</si>
  <si>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</si>
  <si>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</si>
  <si>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</si>
  <si>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</si>
  <si>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</si>
  <si>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</si>
  <si>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</si>
  <si>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</si>
  <si>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</si>
  <si>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</si>
  <si>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</si>
  <si>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</si>
  <si>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</si>
  <si>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</si>
  <si>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</si>
  <si>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</si>
  <si>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</si>
  <si>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</si>
  <si>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</si>
  <si>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</si>
  <si>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</si>
  <si>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</si>
  <si>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</si>
  <si>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</si>
  <si>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</si>
  <si>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</si>
  <si>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</si>
  <si>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</si>
  <si>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</si>
  <si>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</si>
  <si>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</si>
  <si>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</si>
  <si>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</si>
  <si>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</si>
  <si>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</si>
  <si>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</si>
  <si>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</si>
  <si>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</si>
  <si>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</si>
  <si>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</si>
  <si>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</si>
  <si>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</si>
  <si>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</si>
  <si>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</si>
  <si>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</si>
  <si>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</si>
  <si>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</si>
  <si>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</si>
  <si>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</si>
  <si>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</si>
  <si>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</si>
  <si>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</si>
  <si>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</si>
  <si>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</si>
  <si>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</si>
  <si>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</si>
  <si>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</si>
  <si>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</si>
  <si>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</si>
  <si>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</si>
  <si>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</si>
  <si>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</si>
  <si>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</si>
  <si>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</si>
  <si>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</si>
  <si>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</si>
  <si>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</si>
  <si>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</si>
  <si>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</si>
  <si>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</si>
  <si>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</si>
  <si>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</si>
  <si>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</si>
  <si>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</si>
  <si>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</si>
  <si>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</si>
  <si>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</si>
  <si>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</si>
  <si>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</si>
  <si>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</si>
  <si>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</si>
  <si>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</si>
  <si>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</si>
  <si>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</si>
  <si>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</si>
  <si>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</si>
  <si>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</si>
  <si>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</si>
  <si>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</si>
  <si>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</si>
  <si>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</si>
  <si>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</si>
  <si>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</si>
  <si>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</si>
  <si>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</si>
  <si>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</si>
  <si>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</si>
  <si>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</si>
  <si>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</si>
  <si>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</si>
  <si>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</si>
  <si>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</si>
  <si>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</si>
  <si>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</si>
  <si>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</si>
  <si>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</si>
  <si>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</si>
  <si>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</si>
  <si>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</si>
  <si>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</si>
  <si>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</si>
  <si>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</si>
  <si>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</si>
  <si>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</si>
  <si>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</si>
  <si>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</si>
  <si>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</si>
  <si>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</si>
  <si>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</si>
  <si>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</si>
  <si>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</si>
  <si>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</si>
  <si>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</si>
  <si>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</si>
  <si>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</si>
  <si>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</si>
  <si>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</si>
  <si>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</si>
  <si>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</si>
  <si>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</si>
  <si>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</si>
  <si>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</si>
  <si>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</si>
  <si>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</si>
  <si>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</si>
  <si>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</si>
  <si>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</si>
  <si>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</si>
  <si>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</si>
  <si>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</si>
  <si>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</si>
  <si>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</si>
  <si>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</si>
  <si>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</si>
  <si>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</si>
  <si>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</si>
  <si>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</si>
  <si>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</si>
  <si>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</si>
  <si>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</si>
  <si>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</si>
  <si>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</si>
  <si>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</si>
  <si>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</si>
  <si>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</si>
  <si>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</si>
  <si>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</si>
  <si>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</si>
  <si>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</si>
  <si>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</si>
  <si>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</si>
  <si>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</si>
  <si>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</si>
  <si>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</si>
  <si>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</si>
  <si>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</si>
  <si>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</si>
  <si>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</si>
  <si>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</si>
  <si>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</si>
  <si>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</si>
  <si>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</si>
  <si>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</si>
  <si>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</si>
  <si>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</si>
  <si>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</si>
  <si>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</si>
  <si>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</si>
  <si>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</si>
  <si>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</si>
  <si>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</si>
  <si>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</si>
  <si>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</si>
  <si>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</si>
  <si>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</si>
  <si>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</si>
  <si>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</si>
  <si>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</si>
  <si>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</si>
  <si>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</si>
  <si>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</si>
  <si>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</si>
  <si>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</si>
  <si>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</si>
  <si>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</si>
  <si>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</si>
  <si>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</si>
  <si>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</si>
  <si>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</si>
  <si>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</si>
  <si>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</si>
  <si>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</si>
  <si>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</si>
  <si>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</si>
  <si>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</si>
  <si>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</si>
  <si>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</si>
  <si>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</si>
  <si>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</si>
  <si>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</si>
  <si>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</si>
  <si>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</si>
  <si>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</si>
  <si>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</si>
  <si>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</si>
  <si>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</si>
  <si>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</si>
  <si>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</si>
  <si>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</si>
  <si>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</si>
  <si>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</si>
  <si>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</si>
  <si>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</si>
  <si>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</si>
  <si>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</si>
  <si>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</si>
  <si>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</si>
  <si>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</si>
  <si>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</si>
  <si>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</si>
  <si>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</si>
  <si>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</si>
  <si>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</si>
  <si>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</si>
  <si>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</si>
  <si>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</si>
  <si>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</si>
  <si>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</si>
  <si>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</si>
  <si>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</si>
  <si>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</si>
  <si>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</si>
  <si>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</si>
  <si>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</si>
  <si>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</si>
  <si>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</si>
  <si>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</si>
  <si>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</si>
  <si>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</si>
  <si>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</si>
  <si>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</si>
  <si>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</si>
  <si>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</si>
  <si>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</si>
  <si>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</si>
  <si>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</si>
  <si>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</si>
  <si>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</si>
  <si>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</si>
  <si>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</si>
  <si>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</si>
  <si>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</si>
  <si>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</si>
  <si>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</si>
  <si>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</si>
  <si>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</si>
  <si>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</si>
  <si>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</si>
  <si>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</si>
  <si>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</si>
  <si>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</si>
  <si>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</si>
  <si>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</si>
  <si>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</si>
  <si>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</si>
  <si>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</si>
  <si>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</si>
  <si>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</si>
  <si>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</si>
  <si>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</si>
  <si>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</si>
  <si>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</si>
  <si>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</si>
  <si>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</si>
  <si>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</si>
  <si>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</si>
  <si>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</si>
  <si>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</si>
  <si>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</si>
  <si>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</si>
  <si>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</si>
  <si>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</si>
  <si>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</si>
  <si>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</si>
  <si>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</si>
  <si>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</si>
  <si>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</si>
  <si>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</si>
  <si>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</si>
  <si>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</si>
  <si>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</si>
  <si>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</si>
  <si>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</si>
  <si>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</si>
  <si>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</si>
  <si>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</si>
  <si>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</si>
  <si>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</si>
  <si>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</si>
  <si>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</si>
  <si>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</si>
  <si>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</si>
  <si>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</si>
  <si>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</si>
  <si>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</si>
  <si>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</si>
  <si>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</si>
  <si>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</si>
  <si>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</si>
  <si>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</si>
  <si>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</si>
  <si>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</si>
  <si>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</si>
  <si>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</si>
  <si>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</si>
  <si>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</si>
  <si>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</si>
  <si>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</si>
  <si>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</si>
  <si>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</si>
  <si>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</si>
  <si>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</si>
  <si>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</si>
  <si>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</si>
  <si>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</si>
  <si>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</si>
  <si>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</si>
  <si>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</si>
  <si>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</si>
  <si>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</si>
  <si>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</si>
  <si>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</si>
  <si>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</si>
  <si>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</si>
  <si>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</si>
  <si>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</si>
  <si>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</si>
  <si>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</si>
  <si>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</si>
  <si>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</si>
  <si>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</si>
  <si>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</si>
  <si>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</si>
  <si>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</si>
  <si>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</si>
  <si>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</si>
  <si>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</si>
  <si>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</si>
  <si>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</si>
  <si>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</si>
  <si>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</si>
  <si>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</si>
  <si>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</si>
  <si>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</si>
  <si>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</si>
  <si>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</si>
  <si>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</si>
  <si>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</si>
  <si>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</si>
  <si>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</si>
  <si>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</si>
  <si>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</si>
  <si>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</si>
  <si>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</si>
  <si>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</si>
  <si>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</si>
  <si>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</si>
  <si>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</si>
  <si>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</si>
  <si>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</si>
  <si>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</si>
  <si>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</si>
  <si>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</si>
  <si>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</si>
  <si>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</si>
  <si>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</si>
  <si>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</si>
  <si>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</si>
  <si>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</si>
  <si>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</si>
  <si>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</si>
  <si>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</si>
  <si>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</si>
  <si>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</si>
  <si>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</si>
  <si>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</si>
  <si>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</si>
  <si>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</si>
  <si>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</si>
  <si>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</si>
  <si>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</si>
  <si>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</si>
  <si>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</si>
  <si>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</si>
  <si>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</si>
  <si>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</si>
  <si>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</si>
  <si>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</si>
  <si>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</si>
  <si>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</si>
  <si>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</si>
  <si>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</si>
  <si>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</si>
  <si>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</si>
  <si>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</si>
  <si>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</si>
  <si>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</si>
  <si>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</si>
  <si>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</si>
  <si>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</si>
  <si>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</si>
  <si>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</si>
  <si>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</si>
  <si>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</si>
  <si>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</si>
  <si>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</si>
  <si>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</si>
  <si>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</si>
  <si>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</si>
  <si>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</si>
  <si>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</si>
  <si>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</si>
  <si>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</si>
  <si>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</si>
  <si>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</si>
  <si>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</si>
  <si>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</si>
  <si>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</si>
  <si>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</si>
  <si>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</si>
  <si>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</si>
  <si>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</si>
  <si>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</si>
  <si>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</si>
  <si>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</si>
  <si>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</si>
  <si>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</si>
  <si>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</si>
  <si>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</si>
  <si>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</si>
  <si>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</si>
  <si>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</si>
  <si>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</si>
  <si>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</si>
  <si>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</si>
  <si>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</si>
  <si>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</si>
  <si>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</si>
  <si>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</si>
  <si>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</si>
  <si>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</si>
  <si>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</si>
  <si>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</si>
  <si>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</si>
  <si>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</si>
  <si>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</si>
  <si>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</si>
  <si>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</si>
  <si>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</si>
  <si>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</si>
  <si>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</si>
  <si>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</si>
  <si>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</si>
  <si>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</si>
  <si>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</si>
  <si>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</si>
  <si>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</si>
  <si>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</si>
  <si>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</si>
  <si>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</si>
  <si>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</si>
  <si>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</si>
  <si>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</si>
  <si>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</si>
  <si>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</si>
  <si>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</si>
  <si>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</si>
  <si>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</si>
  <si>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</si>
  <si>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</si>
  <si>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</si>
  <si>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</si>
  <si>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</si>
  <si>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</si>
  <si>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</si>
  <si>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</si>
  <si>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</si>
  <si>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</si>
  <si>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</si>
  <si>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</si>
  <si>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</si>
  <si>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</si>
  <si>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</si>
  <si>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</si>
  <si>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</si>
  <si>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</si>
  <si>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</si>
  <si>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</si>
  <si>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</si>
  <si>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</si>
  <si>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</si>
  <si>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</si>
  <si>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</si>
  <si>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</si>
  <si>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</si>
  <si>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</si>
  <si>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</si>
  <si>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</si>
  <si>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</si>
  <si>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</si>
  <si>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</si>
  <si>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</si>
  <si>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</si>
  <si>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</si>
  <si>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</si>
  <si>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</si>
  <si>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</si>
  <si>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</si>
  <si>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</si>
  <si>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</si>
  <si>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</si>
  <si>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</si>
  <si>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</si>
  <si>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</si>
  <si>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</si>
  <si>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</si>
  <si>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</si>
  <si>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</si>
  <si>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</si>
  <si>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</si>
  <si>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</si>
  <si>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</si>
  <si>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</si>
  <si>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</si>
  <si>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</si>
  <si>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</si>
  <si>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</si>
  <si>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</si>
  <si>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</si>
  <si>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</si>
  <si>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</si>
  <si>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</si>
  <si>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</si>
  <si>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</si>
  <si>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</si>
  <si>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</si>
  <si>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</si>
  <si>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</si>
  <si>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</si>
  <si>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</si>
  <si>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</si>
  <si>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</si>
  <si>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</si>
  <si>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</si>
  <si>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</si>
  <si>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</si>
  <si>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</si>
  <si>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</si>
  <si>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</si>
  <si>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</si>
  <si>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</si>
  <si>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</si>
  <si>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</si>
  <si>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</si>
  <si>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</si>
  <si>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</si>
  <si>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</si>
  <si>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</si>
  <si>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</si>
  <si>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</si>
  <si>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</si>
  <si>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</si>
  <si>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</si>
  <si>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</si>
  <si>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</si>
  <si>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</si>
  <si>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</si>
  <si>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</si>
  <si>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</si>
  <si>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</si>
  <si>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</si>
  <si>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</si>
  <si>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</si>
  <si>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</si>
  <si>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</si>
  <si>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</si>
  <si>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</si>
  <si>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</si>
  <si>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</si>
  <si>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</si>
  <si>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</si>
  <si>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</si>
  <si>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</si>
  <si>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</si>
  <si>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</si>
  <si>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</si>
  <si>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</si>
  <si>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</si>
  <si>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</si>
  <si>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</si>
  <si>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</si>
  <si>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</si>
  <si>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</si>
  <si>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</si>
  <si>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</si>
  <si>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</si>
  <si>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</si>
  <si>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</si>
  <si>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</si>
  <si>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</si>
  <si>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</si>
  <si>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</si>
  <si>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</si>
  <si>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</si>
  <si>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</si>
  <si>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</si>
  <si>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</si>
  <si>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</si>
  <si>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</si>
  <si>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</si>
  <si>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</si>
  <si>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</si>
  <si>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</si>
  <si>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</si>
  <si>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</si>
  <si>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</si>
  <si>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</si>
  <si>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</si>
  <si>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</si>
  <si>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</si>
  <si>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</si>
  <si>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</si>
  <si>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</si>
  <si>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</si>
  <si>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</si>
  <si>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</si>
  <si>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</si>
  <si>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</si>
  <si>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</si>
  <si>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</si>
  <si>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</si>
  <si>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</si>
  <si>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</si>
  <si>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</si>
  <si>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</si>
  <si>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</si>
  <si>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</si>
  <si>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</si>
  <si>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</si>
  <si>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</si>
  <si>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</si>
  <si>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</si>
  <si>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</si>
  <si>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</si>
  <si>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</si>
  <si>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</si>
  <si>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</si>
  <si>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</si>
  <si>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</si>
  <si>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</si>
  <si>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</si>
  <si>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</si>
  <si>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</si>
  <si>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</si>
  <si>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</si>
  <si>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</si>
  <si>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</si>
  <si>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</si>
  <si>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</si>
  <si>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</si>
  <si>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</si>
  <si>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</si>
  <si>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</si>
  <si>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</si>
  <si>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</si>
  <si>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</si>
  <si>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</si>
  <si>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</si>
  <si>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</si>
  <si>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</si>
  <si>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</si>
  <si>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</si>
  <si>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</si>
  <si>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</si>
  <si>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</si>
  <si>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</si>
  <si>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</si>
  <si>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</si>
  <si>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</si>
  <si>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</si>
  <si>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</si>
  <si>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</si>
  <si>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</si>
  <si>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</si>
  <si>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</si>
  <si>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</si>
  <si>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</si>
  <si>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</si>
  <si>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</si>
  <si>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</si>
  <si>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</si>
  <si>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</si>
  <si>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</si>
  <si>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</si>
  <si>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</si>
  <si>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</si>
  <si>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</si>
  <si>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</si>
  <si>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</si>
  <si>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</si>
  <si>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</si>
  <si>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</si>
  <si>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</si>
  <si>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</si>
  <si>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</si>
  <si>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</si>
  <si>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</si>
  <si>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</si>
  <si>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</si>
  <si>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</si>
  <si>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</si>
  <si>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</si>
  <si>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</si>
  <si>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</si>
  <si>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</si>
  <si>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</si>
  <si>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</si>
  <si>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</si>
  <si>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</si>
  <si>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</si>
  <si>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</si>
  <si>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</si>
  <si>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</si>
  <si>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</si>
  <si>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</si>
  <si>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</si>
  <si>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</si>
  <si>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</si>
  <si>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</si>
  <si>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</si>
  <si>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</si>
  <si>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</si>
  <si>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</si>
  <si>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</si>
  <si>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</si>
  <si>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</si>
  <si>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</si>
  <si>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</si>
  <si>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</si>
  <si>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</si>
  <si>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</si>
  <si>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</si>
  <si>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</si>
  <si>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</si>
  <si>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</si>
  <si>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</si>
  <si>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</si>
  <si>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</si>
  <si>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</si>
  <si>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</si>
  <si>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</si>
  <si>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</si>
  <si>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</si>
  <si>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</si>
  <si>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</si>
  <si>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</si>
  <si>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</si>
  <si>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</si>
  <si>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</si>
  <si>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</si>
  <si>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</si>
  <si>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</si>
  <si>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</si>
  <si>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</si>
  <si>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</si>
  <si>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</si>
  <si>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</si>
  <si>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</si>
  <si>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</si>
  <si>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</si>
  <si>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</si>
  <si>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</si>
  <si>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</si>
  <si>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</si>
  <si>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</si>
  <si>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</si>
  <si>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</si>
  <si>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</si>
  <si>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</si>
  <si>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</si>
  <si>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</si>
  <si>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</si>
  <si>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</si>
  <si>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</si>
  <si>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</si>
  <si>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</si>
  <si>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</si>
  <si>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</si>
  <si>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</si>
  <si>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</si>
  <si>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</si>
  <si>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</si>
  <si>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</si>
  <si>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</si>
  <si>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</si>
  <si>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</si>
  <si>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</si>
  <si>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</si>
  <si>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</si>
  <si>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</si>
  <si>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</si>
  <si>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</si>
  <si>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</si>
  <si>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</si>
  <si>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</si>
  <si>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</si>
  <si>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</si>
  <si>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</si>
  <si>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</si>
  <si>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</si>
  <si>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</si>
  <si>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</si>
  <si>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</si>
  <si>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</si>
  <si>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</si>
  <si>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</si>
  <si>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</si>
  <si>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</si>
  <si>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</si>
  <si>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</si>
  <si>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</si>
  <si>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</si>
  <si>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</si>
  <si>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</si>
  <si>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</si>
  <si>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</si>
  <si>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</si>
  <si>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</si>
  <si>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</si>
  <si>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</si>
  <si>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</si>
  <si>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</si>
  <si>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</si>
  <si>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</si>
  <si>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</si>
  <si>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</si>
  <si>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</si>
  <si>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</si>
  <si>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</si>
  <si>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</si>
  <si>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</si>
  <si>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</si>
  <si>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</si>
  <si>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</si>
  <si>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</si>
  <si>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</si>
  <si>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</si>
  <si>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</si>
  <si>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</si>
  <si>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</si>
  <si>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</si>
  <si>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</si>
  <si>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</si>
  <si>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</si>
  <si>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</si>
  <si>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</si>
  <si>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</si>
  <si>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</si>
  <si>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</si>
  <si>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</si>
  <si>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</si>
  <si>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</si>
  <si>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</si>
  <si>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</si>
  <si>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</si>
  <si>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</si>
  <si>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</si>
  <si>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</si>
  <si>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</si>
  <si>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</si>
  <si>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</si>
  <si>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</si>
  <si>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</si>
  <si>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</si>
  <si>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</si>
  <si>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</si>
  <si>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</si>
  <si>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</si>
  <si>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</si>
  <si>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</si>
  <si>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</si>
  <si>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</si>
  <si>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</si>
  <si>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</si>
  <si>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</si>
  <si>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</si>
  <si>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</si>
  <si>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</si>
  <si>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</si>
  <si>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</si>
  <si>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</si>
  <si>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</si>
  <si>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</si>
  <si>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</si>
  <si>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</si>
  <si>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</si>
  <si>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</si>
  <si>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</si>
  <si>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</si>
  <si>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</si>
  <si>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</si>
  <si>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</si>
  <si>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</si>
  <si>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</si>
  <si>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</si>
  <si>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</si>
  <si>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</si>
  <si>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</si>
  <si>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</si>
  <si>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</si>
  <si>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</si>
  <si>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</si>
  <si>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</si>
  <si>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</si>
  <si>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</si>
  <si>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</si>
  <si>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</si>
  <si>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</si>
  <si>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</si>
  <si>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</si>
  <si>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</si>
  <si>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</si>
  <si>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</si>
  <si>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</si>
  <si>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</si>
  <si>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</si>
  <si>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</si>
  <si>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</si>
  <si>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</si>
  <si>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</si>
  <si>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</si>
  <si>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</si>
  <si>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</si>
  <si>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</si>
  <si>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</si>
  <si>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</si>
  <si>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</si>
  <si>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</si>
  <si>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</si>
  <si>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</si>
  <si>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</si>
  <si>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</si>
  <si>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</si>
  <si>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</si>
  <si>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</si>
  <si>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</si>
  <si>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</si>
  <si>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</si>
  <si>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</si>
  <si>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</si>
  <si>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</si>
  <si>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</si>
  <si>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</si>
  <si>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</si>
  <si>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</si>
  <si>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</si>
  <si>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</si>
  <si>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</si>
  <si>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</si>
  <si>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</si>
  <si>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</si>
  <si>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</si>
  <si>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</si>
  <si>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</si>
  <si>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</si>
  <si>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</si>
  <si>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</si>
  <si>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</si>
  <si>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</si>
  <si>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</si>
  <si>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</si>
  <si>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</si>
  <si>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</si>
  <si>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</si>
  <si>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</si>
  <si>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</si>
  <si>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</si>
  <si>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</si>
  <si>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</si>
  <si>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</si>
  <si>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</si>
  <si>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</si>
  <si>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</si>
  <si>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</si>
  <si>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</si>
  <si>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</si>
  <si>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</si>
  <si>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</si>
  <si>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</si>
  <si>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</si>
  <si>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</si>
  <si>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</si>
  <si>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</si>
  <si>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</si>
  <si>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</si>
  <si>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</si>
  <si>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</si>
  <si>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</si>
  <si>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</si>
  <si>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</si>
  <si>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</si>
  <si>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</si>
  <si>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</si>
  <si>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</si>
  <si>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</si>
  <si>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</si>
  <si>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</si>
  <si>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</si>
  <si>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</si>
  <si>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</si>
  <si>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</si>
  <si>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</si>
  <si>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</si>
  <si>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</si>
  <si>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</si>
  <si>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</si>
  <si>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</si>
  <si>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</si>
  <si>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</si>
  <si>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</si>
  <si>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</si>
  <si>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</si>
  <si>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</si>
  <si>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</si>
  <si>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</si>
  <si>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</si>
  <si>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</si>
  <si>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</si>
  <si>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</si>
  <si>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</si>
  <si>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</si>
  <si>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</si>
  <si>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</si>
  <si>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</si>
  <si>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</si>
  <si>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</si>
  <si>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</si>
  <si>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</si>
  <si>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</si>
  <si>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</si>
  <si>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</si>
  <si>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</si>
  <si>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</si>
  <si>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</si>
  <si>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</si>
  <si>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</si>
  <si>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</si>
  <si>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</si>
  <si>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</si>
  <si>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</si>
  <si>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</si>
  <si>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</si>
  <si>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</si>
  <si>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</si>
  <si>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</si>
  <si>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</si>
  <si>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</si>
  <si>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</si>
  <si>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</si>
  <si>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</si>
  <si>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</si>
  <si>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</si>
  <si>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</si>
  <si>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</si>
  <si>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</si>
  <si>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</si>
  <si>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</si>
  <si>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</si>
  <si>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</si>
  <si>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</si>
  <si>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</si>
  <si>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</si>
  <si>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</si>
  <si>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</si>
  <si>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</si>
  <si>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</si>
  <si>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</si>
  <si>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</si>
  <si>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</si>
  <si>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</si>
  <si>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</si>
  <si>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</si>
  <si>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</si>
  <si>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</si>
  <si>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</si>
  <si>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</si>
  <si>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</si>
  <si>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</si>
  <si>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</si>
  <si>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</si>
  <si>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</si>
  <si>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</si>
  <si>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</si>
  <si>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</si>
  <si>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</si>
  <si>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</si>
  <si>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</si>
  <si>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</si>
  <si>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</si>
  <si>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</si>
  <si>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</si>
  <si>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</si>
  <si>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</si>
  <si>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</si>
  <si>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</si>
  <si>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</si>
  <si>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</si>
  <si>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</si>
  <si>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</si>
  <si>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</si>
  <si>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自然人</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</si>
  <si>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</si>
  <si>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</si>
  <si>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</si>
  <si>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</si>
  <si>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</si>
  <si>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</si>
  <si>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</si>
  <si>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</si>
  <si>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</si>
  <si>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</si>
  <si>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宋体"/>
        <family val="3"/>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</si>
  <si>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</si>
  <si>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</si>
  <si>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</si>
  <si>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</si>
  <si>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</si>
  <si>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</si>
  <si>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</si>
  <si>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</si>
  <si>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</si>
  <si>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</si>
  <si>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</si>
  <si>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</si>
  <si>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</si>
  <si>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</si>
  <si>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室内装饰装修</t>
    <phoneticPr fontId="134" type="noConversion"/>
  </si>
  <si>
    <t>生活设施、家具电器配备齐全</t>
    <phoneticPr fontId="134" type="noConversion"/>
  </si>
  <si>
    <t>生活设施、家具配备齐全</t>
    <phoneticPr fontId="134" type="noConversion"/>
  </si>
  <si>
    <t>月租金+管理费（元/套/月）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</si>
</sst>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8"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256" fillId="0" borderId="0" xfId="10" applyFont="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56</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2023年2月6日（评估专业人员实地查勘之日）</v>
      </c>
    </row>
    <row r="13" spans="1:2" s="1203" customFormat="1">
      <c r="A13" s="1201" t="s">
        <v>525</v>
      </c>
      <c r="B13" s="1202"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89"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381</v>
      </c>
      <c r="C54" s="1551" t="s">
        <v>579</v>
      </c>
    </row>
    <row r="55" spans="1:4">
      <c r="A55" s="3589"/>
      <c r="B55" s="1554" t="s">
        <v>382</v>
      </c>
      <c r="C55" s="1551" t="s">
        <v>580</v>
      </c>
    </row>
    <row r="56" spans="1:4">
      <c r="A56" s="3589"/>
      <c r="B56" s="1554" t="s">
        <v>383</v>
      </c>
      <c r="C56" s="1551" t="s">
        <v>584</v>
      </c>
    </row>
    <row r="57" spans="1:4">
      <c r="A57" s="3589"/>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0" t="s">
        <v>2576</v>
      </c>
      <c r="J2" s="3590"/>
      <c r="K2" s="3590"/>
      <c r="L2" s="3590"/>
      <c r="M2" s="3590"/>
      <c r="N2" s="3590"/>
      <c r="O2" s="3590"/>
      <c r="P2" s="3590"/>
      <c r="Q2" s="3590"/>
      <c r="R2" s="3590"/>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1" t="str">
        <f>IF(B10="北京市","北京市",C10)&amp;F10&amp;IF(结果表!G1="在建","出让国有建设用地使用权及在建建筑物",IF(结果表!G1="土地","出让国有建设用地使用权",))&amp;B9&amp;"预评估"</f>
        <v>北京市房地产市场价值预评估</v>
      </c>
      <c r="C1" s="3592"/>
      <c r="D1" s="3592"/>
      <c r="E1" s="3592"/>
      <c r="F1" s="3592"/>
      <c r="G1" s="3592"/>
      <c r="H1" s="3592"/>
      <c r="I1" s="3593"/>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2371">
        <f>B3</f>
        <v>44963</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3493</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3582</v>
      </c>
      <c r="C8" s="2387"/>
      <c r="D8" s="3594" t="s">
        <v>2169</v>
      </c>
      <c r="E8" s="2388"/>
      <c r="F8" s="2389"/>
      <c r="G8" s="2660"/>
      <c r="H8" s="2660"/>
      <c r="I8" s="2660"/>
      <c r="J8" s="2436"/>
      <c r="K8" s="2611"/>
      <c r="L8" s="2610"/>
      <c r="M8" s="2610"/>
      <c r="N8" s="2436"/>
      <c r="O8" s="2447"/>
      <c r="P8" s="2436"/>
      <c r="Q8" s="2436"/>
      <c r="R8" s="2436"/>
    </row>
    <row r="9" spans="1:30" ht="13.5" thickBot="1">
      <c r="A9" s="2390" t="s">
        <v>2170</v>
      </c>
      <c r="B9" s="2391" t="s">
        <v>3583</v>
      </c>
      <c r="C9" s="2392"/>
      <c r="D9" s="3595"/>
      <c r="E9" s="2391"/>
      <c r="F9" s="2393"/>
      <c r="G9" s="2662"/>
      <c r="H9" s="2662"/>
      <c r="I9" s="2662"/>
      <c r="J9" s="2436"/>
      <c r="K9" s="2613"/>
      <c r="L9" s="2610"/>
      <c r="M9" s="2610"/>
      <c r="N9" s="2436"/>
      <c r="O9" s="2447"/>
      <c r="P9" s="2436"/>
      <c r="Q9" s="2436"/>
      <c r="R9" s="2436"/>
    </row>
    <row r="10" spans="1:30" ht="13.5" thickTop="1">
      <c r="A10" s="2394" t="s">
        <v>2171</v>
      </c>
      <c r="B10" s="2395" t="s">
        <v>3584</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3585</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54820</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27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1"/>
      <c r="C16" s="3602"/>
      <c r="D16" s="3603"/>
      <c r="E16" s="2410" t="s">
        <v>2186</v>
      </c>
      <c r="F16" s="3604"/>
      <c r="G16" s="3605"/>
      <c r="H16" s="3605"/>
      <c r="I16" s="3606"/>
      <c r="J16" s="2436"/>
      <c r="K16" s="2614"/>
      <c r="L16" s="2448"/>
      <c r="M16" s="2448"/>
      <c r="N16" s="2506"/>
      <c r="O16" s="2448"/>
      <c r="P16" s="2506"/>
      <c r="Q16" s="2436"/>
      <c r="R16" s="2436"/>
    </row>
    <row r="17" spans="1:28">
      <c r="A17" s="313" t="s">
        <v>2187</v>
      </c>
      <c r="B17" s="302" t="s">
        <v>2188</v>
      </c>
      <c r="C17" s="8">
        <f>'数据-汇总表'!E3</f>
        <v>58.6</v>
      </c>
      <c r="D17" s="2320" t="s">
        <v>2189</v>
      </c>
      <c r="E17" s="3607" t="s">
        <v>2190</v>
      </c>
      <c r="F17" s="3608"/>
      <c r="G17" s="3608"/>
      <c r="H17" s="3608"/>
      <c r="I17" s="3609"/>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0" t="s">
        <v>2194</v>
      </c>
      <c r="F18" s="3611"/>
      <c r="G18" s="3611"/>
      <c r="H18" s="3611"/>
      <c r="I18" s="3612"/>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597" t="s">
        <v>2198</v>
      </c>
      <c r="C20" s="3598"/>
      <c r="D20" s="3599" t="s">
        <v>2199</v>
      </c>
      <c r="E20" s="3600"/>
      <c r="F20" s="2644" t="s">
        <v>1052</v>
      </c>
      <c r="G20" s="2661"/>
      <c r="H20" s="2661"/>
      <c r="I20" s="2661"/>
      <c r="J20" s="2436"/>
      <c r="K20" s="3596"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14"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14"/>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14"/>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15"/>
      <c r="B30" s="302" t="s">
        <v>2210</v>
      </c>
      <c r="C30" s="3616"/>
      <c r="D30" s="3617"/>
      <c r="E30" s="2661"/>
      <c r="F30" s="2661"/>
      <c r="G30" s="2661"/>
      <c r="H30" s="2661"/>
      <c r="I30" s="2661"/>
      <c r="J30" s="2436"/>
      <c r="K30" s="2613"/>
      <c r="L30" s="2610"/>
      <c r="M30" s="2610"/>
      <c r="N30" s="2436"/>
      <c r="O30" s="2447"/>
      <c r="P30" s="2436"/>
      <c r="Q30" s="2436"/>
      <c r="R30" s="2436"/>
      <c r="S30" s="2436"/>
      <c r="T30" s="2436"/>
      <c r="U30" s="2436"/>
      <c r="V30" s="2436"/>
    </row>
    <row r="31" spans="1:28">
      <c r="A31" s="3618"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19"/>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19"/>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3" t="s">
        <v>2220</v>
      </c>
      <c r="T34" s="2425" t="str">
        <f>NUMBERSTRING(7-K34,1)&amp;"通"</f>
        <v>七通</v>
      </c>
      <c r="U34" s="2436"/>
      <c r="V34" s="2436"/>
    </row>
    <row r="35" spans="1:30">
      <c r="A35" s="2426"/>
      <c r="B35" s="3620" t="s">
        <v>2221</v>
      </c>
      <c r="C35" s="3620"/>
      <c r="D35" s="3620"/>
      <c r="E35" s="3620"/>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3"/>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3494</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3495</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3497</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0" t="s">
        <v>1127</v>
      </c>
      <c r="B2" s="3630"/>
      <c r="C2" s="3630"/>
      <c r="D2" s="796" t="s">
        <v>1103</v>
      </c>
      <c r="E2" s="1639" t="s">
        <v>1104</v>
      </c>
      <c r="F2" s="2656"/>
      <c r="G2" s="2647"/>
      <c r="H2" s="2648"/>
      <c r="I2" s="2323" t="s">
        <v>1128</v>
      </c>
      <c r="J2" s="2656"/>
      <c r="K2" s="2656"/>
      <c r="L2" s="2656"/>
      <c r="M2" s="2656"/>
      <c r="N2" s="2658"/>
      <c r="O2" s="2656"/>
      <c r="P2" s="2656"/>
    </row>
    <row r="3" spans="1:16" ht="15.75" thickBot="1">
      <c r="A3" s="3631" t="s">
        <v>1101</v>
      </c>
      <c r="B3" s="3631"/>
      <c r="C3" s="3631"/>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32"/>
      <c r="B4" s="3633"/>
      <c r="C4" s="3634"/>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35" t="s">
        <v>1106</v>
      </c>
      <c r="C5" s="3635"/>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35" t="s">
        <v>1107</v>
      </c>
      <c r="C6" s="3635"/>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27"/>
      <c r="B7" s="3628"/>
      <c r="C7" s="3629"/>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24" t="s">
        <v>1131</v>
      </c>
      <c r="L16" s="3625"/>
      <c r="M16" s="3625"/>
      <c r="N16" s="3625"/>
      <c r="O16" s="3625"/>
      <c r="P16" s="3626"/>
    </row>
    <row r="17" spans="1:19" ht="15">
      <c r="A17" s="1650" t="s">
        <v>1132</v>
      </c>
      <c r="B17" s="1651" t="s">
        <v>1133</v>
      </c>
      <c r="C17" s="1652" t="s">
        <v>1134</v>
      </c>
      <c r="D17" s="1653" t="s">
        <v>1122</v>
      </c>
      <c r="E17" s="1654" t="s">
        <v>1123</v>
      </c>
      <c r="F17" s="1655"/>
      <c r="G17" s="1656"/>
      <c r="H17" s="1657" t="s">
        <v>1135</v>
      </c>
      <c r="I17" s="1658" t="s">
        <v>1120</v>
      </c>
      <c r="J17" s="1139"/>
      <c r="K17" s="3621" t="s">
        <v>1136</v>
      </c>
      <c r="L17" s="3622"/>
      <c r="M17" s="3623"/>
      <c r="N17" s="3621" t="s">
        <v>1137</v>
      </c>
      <c r="O17" s="3622"/>
      <c r="P17" s="3623"/>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3496</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26" sqref="E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3495</v>
      </c>
      <c r="D6" s="858">
        <f>SUMIF(项目基本情况!C$12:I$12,C6,项目基本情况!C$14:I$14)</f>
        <v>70</v>
      </c>
      <c r="E6" s="857">
        <f>IF(B6="","",SUMIF(项目基本情况!C$12:I$12,C6,项目基本情况!C$13:I$13))</f>
        <v>54820</v>
      </c>
      <c r="F6" s="64">
        <f>SUMIF(项目基本情况!C$12:I$12,C6,项目基本情况!C$15:I$15)</f>
        <v>27</v>
      </c>
      <c r="G6" s="65">
        <f>IF(ISERROR(ROUND(POWER(1+H6,D6-F6)*(POWER(1+H6,F6)-1)/(POWER(1+H6,D6)-1),3)),0,ROUND(POWER(1+H6,D6-F6)*(POWER(1+H6,F6)-1)/(POWER(1+H6,D6)-1),3))</f>
        <v>0</v>
      </c>
      <c r="H6" s="732"/>
      <c r="I6" s="732"/>
      <c r="J6" s="66"/>
      <c r="K6" s="1030">
        <f>SUMIF('数据-汇总表'!C$19:C$33,A6,'数据-汇总表'!E$19:E$33)</f>
        <v>58.6</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58.6</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58.6</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36" t="s">
        <v>2278</v>
      </c>
      <c r="B1" s="3637"/>
      <c r="C1" s="3637"/>
      <c r="D1" s="3637"/>
      <c r="E1" s="3637"/>
      <c r="F1" s="3637"/>
      <c r="G1" s="363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3495</v>
      </c>
      <c r="D1" s="1747"/>
      <c r="E1" s="1747"/>
      <c r="F1" s="1749" t="s">
        <v>1259</v>
      </c>
      <c r="G1" s="1561" t="s">
        <v>3566</v>
      </c>
      <c r="H1" s="1750" t="str">
        <f>IF(G1="现房","——","估价对象范围")</f>
        <v>——</v>
      </c>
      <c r="I1" s="1751"/>
    </row>
    <row r="2" spans="1:12" ht="21.75" customHeight="1" thickBot="1">
      <c r="A2" s="3705" t="str">
        <f>项目基本情况!S2</f>
        <v>北京市房地产</v>
      </c>
      <c r="B2" s="3706"/>
      <c r="C2" s="3706"/>
      <c r="D2" s="3706"/>
      <c r="E2" s="3706"/>
      <c r="F2" s="3706"/>
      <c r="G2" s="3706"/>
      <c r="H2" s="3706"/>
      <c r="I2" s="3707"/>
    </row>
    <row r="3" spans="1:12" ht="12.75">
      <c r="A3" s="3709" t="s">
        <v>1260</v>
      </c>
      <c r="B3" s="3710"/>
      <c r="C3" s="3710"/>
      <c r="D3" s="3710"/>
      <c r="E3" s="3710"/>
      <c r="F3" s="3710"/>
      <c r="G3" s="3710"/>
      <c r="H3" s="3710"/>
      <c r="I3" s="3710"/>
    </row>
    <row r="4" spans="1:12" ht="14.25">
      <c r="A4" s="1754" t="s">
        <v>1261</v>
      </c>
      <c r="B4" s="1755" t="s">
        <v>1262</v>
      </c>
      <c r="C4" s="1756" t="s">
        <v>3565</v>
      </c>
      <c r="D4" s="1756" t="s">
        <v>3499</v>
      </c>
      <c r="E4" s="3714" t="s">
        <v>1263</v>
      </c>
      <c r="F4" s="3715"/>
      <c r="G4" s="3715"/>
      <c r="H4" s="3715"/>
      <c r="I4" s="37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3" t="s">
        <v>1264</v>
      </c>
      <c r="B5" s="3708">
        <v>25</v>
      </c>
      <c r="C5" s="3711"/>
      <c r="D5" s="3699"/>
      <c r="E5" s="131" t="s">
        <v>1265</v>
      </c>
      <c r="F5" s="1757"/>
      <c r="G5" s="1757"/>
      <c r="H5" s="1757"/>
      <c r="I5" s="1373"/>
    </row>
    <row r="6" spans="1:12" ht="12.75">
      <c r="A6" s="3653"/>
      <c r="B6" s="3708"/>
      <c r="C6" s="3713"/>
      <c r="D6" s="3699"/>
      <c r="E6" s="131" t="s">
        <v>1266</v>
      </c>
      <c r="F6" s="1757"/>
      <c r="G6" s="1757"/>
      <c r="H6" s="1757"/>
      <c r="I6" s="1373"/>
    </row>
    <row r="7" spans="1:12" ht="12.75">
      <c r="A7" s="3653"/>
      <c r="B7" s="3708"/>
      <c r="C7" s="3712"/>
      <c r="D7" s="3699"/>
      <c r="E7" s="131" t="s">
        <v>1267</v>
      </c>
      <c r="F7" s="1757"/>
      <c r="G7" s="1757"/>
      <c r="H7" s="1757"/>
      <c r="I7" s="1373"/>
    </row>
    <row r="8" spans="1:12" ht="12.75">
      <c r="A8" s="3653" t="s">
        <v>1268</v>
      </c>
      <c r="B8" s="3708">
        <v>15</v>
      </c>
      <c r="C8" s="3711"/>
      <c r="D8" s="3699"/>
      <c r="E8" s="131" t="s">
        <v>1269</v>
      </c>
      <c r="F8" s="1757"/>
      <c r="G8" s="1757"/>
      <c r="H8" s="1757"/>
      <c r="I8" s="1373"/>
    </row>
    <row r="9" spans="1:12" ht="12.75">
      <c r="A9" s="3653"/>
      <c r="B9" s="3708"/>
      <c r="C9" s="3712"/>
      <c r="D9" s="3699"/>
      <c r="E9" s="131" t="s">
        <v>1270</v>
      </c>
      <c r="F9" s="1757"/>
      <c r="G9" s="1757"/>
      <c r="H9" s="1757"/>
      <c r="I9" s="1373"/>
    </row>
    <row r="10" spans="1:12" ht="12.75">
      <c r="A10" s="3653" t="s">
        <v>1271</v>
      </c>
      <c r="B10" s="3708">
        <v>15</v>
      </c>
      <c r="C10" s="3711"/>
      <c r="D10" s="3699"/>
      <c r="E10" s="131" t="s">
        <v>1272</v>
      </c>
      <c r="F10" s="1757"/>
      <c r="G10" s="1757"/>
      <c r="H10" s="1757"/>
      <c r="I10" s="1373"/>
    </row>
    <row r="11" spans="1:12" ht="12.75">
      <c r="A11" s="3653"/>
      <c r="B11" s="3708"/>
      <c r="C11" s="3712"/>
      <c r="D11" s="3699"/>
      <c r="E11" s="131" t="s">
        <v>1273</v>
      </c>
      <c r="F11" s="1757"/>
      <c r="G11" s="1757"/>
      <c r="H11" s="1757"/>
      <c r="I11" s="1373"/>
    </row>
    <row r="12" spans="1:12" ht="12.75">
      <c r="A12" s="3653" t="s">
        <v>1274</v>
      </c>
      <c r="B12" s="3708">
        <v>15</v>
      </c>
      <c r="C12" s="3711"/>
      <c r="D12" s="3699"/>
      <c r="E12" s="131" t="s">
        <v>1275</v>
      </c>
      <c r="F12" s="1757"/>
      <c r="G12" s="1757"/>
      <c r="H12" s="1757"/>
      <c r="I12" s="1373"/>
    </row>
    <row r="13" spans="1:12" ht="12.75">
      <c r="A13" s="3653"/>
      <c r="B13" s="3708"/>
      <c r="C13" s="3712"/>
      <c r="D13" s="3699"/>
      <c r="E13" s="131" t="s">
        <v>1276</v>
      </c>
      <c r="F13" s="1757"/>
      <c r="G13" s="1757"/>
      <c r="H13" s="1757"/>
      <c r="I13" s="1373"/>
    </row>
    <row r="14" spans="1:12" ht="12.75">
      <c r="A14" s="3653" t="s">
        <v>1277</v>
      </c>
      <c r="B14" s="3708">
        <v>30</v>
      </c>
      <c r="C14" s="3711"/>
      <c r="D14" s="3699"/>
      <c r="E14" s="131" t="s">
        <v>1278</v>
      </c>
      <c r="F14" s="1757"/>
      <c r="G14" s="1757"/>
      <c r="H14" s="1757"/>
      <c r="I14" s="1373"/>
    </row>
    <row r="15" spans="1:12" ht="12.75">
      <c r="A15" s="3653"/>
      <c r="B15" s="3708"/>
      <c r="C15" s="3713"/>
      <c r="D15" s="3699"/>
      <c r="E15" s="131" t="s">
        <v>1279</v>
      </c>
      <c r="F15" s="1757"/>
      <c r="G15" s="1757"/>
      <c r="H15" s="1757"/>
      <c r="I15" s="1373"/>
    </row>
    <row r="16" spans="1:12" ht="12.75">
      <c r="A16" s="3653"/>
      <c r="B16" s="3708"/>
      <c r="C16" s="3712"/>
      <c r="D16" s="3699"/>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0" t="s">
        <v>2123</v>
      </c>
      <c r="F18" s="3731"/>
      <c r="G18" s="3731"/>
      <c r="H18" s="3731"/>
      <c r="I18" s="3731"/>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748.99</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127814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23" t="s">
        <v>1295</v>
      </c>
      <c r="B24" s="1762" t="s">
        <v>1287</v>
      </c>
      <c r="C24" s="136">
        <f>IF(B30=0,0,D30)</f>
        <v>0</v>
      </c>
      <c r="D24" s="1769"/>
      <c r="E24" s="129"/>
      <c r="F24" s="129"/>
      <c r="G24" s="129"/>
      <c r="H24" s="129"/>
      <c r="I24" s="129"/>
    </row>
    <row r="25" spans="1:36" ht="14.25">
      <c r="A25" s="372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0" t="s">
        <v>1308</v>
      </c>
      <c r="B36" s="1787" t="s">
        <v>1309</v>
      </c>
      <c r="C36" s="145"/>
      <c r="D36" s="1788"/>
      <c r="E36" s="1789"/>
      <c r="F36" s="1790"/>
      <c r="G36" s="129"/>
      <c r="H36" s="129"/>
      <c r="I36" s="129"/>
    </row>
    <row r="37" spans="1:15" ht="15.75" thickBot="1">
      <c r="A37" s="3701"/>
      <c r="B37" s="1674" t="s">
        <v>1310</v>
      </c>
      <c r="C37" s="147"/>
      <c r="D37" s="1139"/>
      <c r="E37" s="1139"/>
      <c r="F37" s="1790"/>
      <c r="G37" s="129"/>
      <c r="H37" s="129"/>
      <c r="I37" s="129"/>
    </row>
    <row r="38" spans="1:15" ht="15.75" thickBot="1">
      <c r="A38" s="3702"/>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0" t="s">
        <v>1322</v>
      </c>
      <c r="B45" s="3721"/>
      <c r="C45" s="3722"/>
      <c r="D45" s="155" t="e">
        <f ca="1">ROUND(H101*F45,0)</f>
        <v>#REF!</v>
      </c>
      <c r="E45" s="156" t="s">
        <v>1323</v>
      </c>
      <c r="F45" s="157">
        <v>1</v>
      </c>
      <c r="G45" s="158" t="s">
        <v>1324</v>
      </c>
      <c r="H45" s="129"/>
      <c r="I45" s="129"/>
      <c r="J45" s="3640" t="s">
        <v>1325</v>
      </c>
      <c r="K45" s="3640"/>
      <c r="L45" s="3640"/>
      <c r="M45" s="3640"/>
      <c r="N45" s="3640"/>
      <c r="O45" s="3640"/>
    </row>
    <row r="46" spans="1:15" ht="14.25" customHeight="1">
      <c r="A46" s="3717" t="s">
        <v>1326</v>
      </c>
      <c r="B46" s="3718"/>
      <c r="C46" s="3718"/>
      <c r="D46" s="3718"/>
      <c r="E46" s="3718"/>
      <c r="F46" s="3718"/>
      <c r="G46" s="3719"/>
      <c r="H46" s="1806"/>
      <c r="I46" s="159"/>
      <c r="J46" s="2520">
        <v>1</v>
      </c>
      <c r="K46" s="3641" t="s">
        <v>1327</v>
      </c>
      <c r="L46" s="3641"/>
      <c r="M46" s="3642"/>
      <c r="N46" s="3642"/>
      <c r="O46" s="3642"/>
    </row>
    <row r="47" spans="1:15" ht="12" customHeight="1">
      <c r="A47" s="160" t="s">
        <v>1328</v>
      </c>
      <c r="B47" s="161"/>
      <c r="C47" s="162"/>
      <c r="D47" s="1087" t="s">
        <v>1329</v>
      </c>
      <c r="E47" s="302" t="s">
        <v>1330</v>
      </c>
      <c r="F47" s="163" t="s">
        <v>1331</v>
      </c>
      <c r="G47" s="2543" t="s">
        <v>1332</v>
      </c>
      <c r="H47" s="2544"/>
      <c r="I47" s="159"/>
      <c r="J47" s="2520">
        <v>2</v>
      </c>
      <c r="K47" s="3641" t="s">
        <v>1333</v>
      </c>
      <c r="L47" s="3641"/>
      <c r="M47" s="3643">
        <f>'数据-取费表'!B2</f>
        <v>44963</v>
      </c>
      <c r="N47" s="3643"/>
      <c r="O47" s="3643"/>
    </row>
    <row r="48" spans="1:15" ht="25.5">
      <c r="A48" s="3703" t="s">
        <v>1334</v>
      </c>
      <c r="B48" s="3704"/>
      <c r="C48" s="3704"/>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1" t="s">
        <v>1336</v>
      </c>
      <c r="L48" s="3641"/>
      <c r="M48" s="3644" t="e">
        <f ca="1">H101</f>
        <v>#REF!</v>
      </c>
      <c r="N48" s="3644"/>
      <c r="O48" s="3644"/>
    </row>
    <row r="49" spans="1:35" ht="25.5" customHeight="1">
      <c r="A49" s="2331" t="s">
        <v>1337</v>
      </c>
      <c r="B49" s="3689" t="s">
        <v>1338</v>
      </c>
      <c r="C49" s="3689"/>
      <c r="D49" s="1590">
        <v>0</v>
      </c>
      <c r="E49" s="324" t="s">
        <v>1339</v>
      </c>
      <c r="F49" s="2421" t="s">
        <v>24</v>
      </c>
      <c r="G49" s="3672"/>
      <c r="H49" s="2308" t="s">
        <v>2126</v>
      </c>
      <c r="I49" s="2309"/>
      <c r="J49" s="2520">
        <v>4</v>
      </c>
      <c r="K49" s="3641" t="str">
        <f>IF(项目基本情况!E8="房地产抵押价值","房地产抵押价值","抵押担保权已注销时的房地产抵押价值")</f>
        <v>抵押担保权已注销时的房地产抵押价值</v>
      </c>
      <c r="L49" s="3641"/>
      <c r="M49" s="3644" t="str">
        <f>IF(项目基本情况!E8="房地产抵押价值",H107,H109)</f>
        <v>——</v>
      </c>
      <c r="N49" s="3644"/>
      <c r="O49" s="3644"/>
    </row>
    <row r="50" spans="1:35" ht="25.5" customHeight="1">
      <c r="A50" s="2548"/>
      <c r="B50" s="3689" t="s">
        <v>1340</v>
      </c>
      <c r="C50" s="3689"/>
      <c r="D50" s="2549"/>
      <c r="E50" s="332"/>
      <c r="F50" s="2421"/>
      <c r="G50" s="3673"/>
      <c r="H50" s="2310" t="s">
        <v>2127</v>
      </c>
      <c r="I50" s="2309"/>
      <c r="J50" s="3640" t="s">
        <v>1341</v>
      </c>
      <c r="K50" s="3640"/>
      <c r="L50" s="3640"/>
      <c r="M50" s="3640"/>
      <c r="N50" s="3640"/>
      <c r="O50" s="3640"/>
    </row>
    <row r="51" spans="1:35" ht="20.45" customHeight="1">
      <c r="A51" s="2550"/>
      <c r="B51" s="3689" t="s">
        <v>1342</v>
      </c>
      <c r="C51" s="3689"/>
      <c r="D51" s="1087"/>
      <c r="E51" s="327"/>
      <c r="F51" s="2421"/>
      <c r="G51" s="3674"/>
      <c r="H51" s="2310" t="s">
        <v>2128</v>
      </c>
      <c r="I51" s="2309"/>
      <c r="J51" s="2521" t="s">
        <v>1343</v>
      </c>
      <c r="K51" s="3641" t="s">
        <v>1344</v>
      </c>
      <c r="L51" s="3641"/>
      <c r="M51" s="2521" t="s">
        <v>1345</v>
      </c>
      <c r="N51" s="2521" t="s">
        <v>1346</v>
      </c>
      <c r="O51" s="2521" t="s">
        <v>1347</v>
      </c>
    </row>
    <row r="52" spans="1:35" ht="24" customHeight="1">
      <c r="A52" s="2333" t="s">
        <v>1348</v>
      </c>
      <c r="B52" s="3689" t="s">
        <v>1349</v>
      </c>
      <c r="C52" s="3689"/>
      <c r="D52" s="1087" t="e">
        <f ca="1">ROUND(D45*'数据-取费表'!B41/(1+'数据-取费表'!C42),0)</f>
        <v>#REF!</v>
      </c>
      <c r="E52" s="2332" t="s">
        <v>1350</v>
      </c>
      <c r="F52" s="2551">
        <f>'数据-取费表'!B41</f>
        <v>5.6000000000000001E-2</v>
      </c>
      <c r="G52" s="2552"/>
      <c r="H52" s="2541"/>
      <c r="I52" s="1807"/>
      <c r="J52" s="2520">
        <v>1</v>
      </c>
      <c r="K52" s="3666" t="s">
        <v>1351</v>
      </c>
      <c r="L52" s="3666"/>
      <c r="M52" s="2522" t="b">
        <f>D48</f>
        <v>0</v>
      </c>
      <c r="N52" s="2520" t="str">
        <f>E48</f>
        <v>销售额×税（费）率</v>
      </c>
      <c r="O52" s="2523">
        <f>F48</f>
        <v>5.6000000000000001E-2</v>
      </c>
    </row>
    <row r="53" spans="1:35" ht="12" customHeight="1">
      <c r="A53" s="2333" t="s">
        <v>1352</v>
      </c>
      <c r="B53" s="3690" t="s">
        <v>2283</v>
      </c>
      <c r="C53" s="3691"/>
      <c r="D53" s="1087" t="e">
        <f ca="1">ROUND(D45*'数据-取费表'!B41/(1+'数据-取费表'!C42),0)</f>
        <v>#REF!</v>
      </c>
      <c r="E53" s="2332" t="s">
        <v>1350</v>
      </c>
      <c r="F53" s="2551">
        <f>'数据-取费表'!B41</f>
        <v>5.6000000000000001E-2</v>
      </c>
      <c r="G53" s="2552"/>
      <c r="H53" s="2541"/>
      <c r="I53" s="1807"/>
      <c r="J53" s="2520">
        <v>2</v>
      </c>
      <c r="K53" s="3666" t="s">
        <v>1353</v>
      </c>
      <c r="L53" s="3666"/>
      <c r="M53" s="2522" t="e">
        <f t="shared" ref="M53:O54" ca="1" si="0">D55</f>
        <v>#REF!</v>
      </c>
      <c r="N53" s="2520" t="str">
        <f t="shared" si="0"/>
        <v>销售额×税（费）率</v>
      </c>
      <c r="O53" s="2523" t="str">
        <f t="shared" si="0"/>
        <v>免征</v>
      </c>
    </row>
    <row r="54" spans="1:35" ht="12" customHeight="1">
      <c r="A54" s="2333" t="s">
        <v>1354</v>
      </c>
      <c r="B54" s="3690" t="s">
        <v>2284</v>
      </c>
      <c r="C54" s="3691"/>
      <c r="D54" s="1087" t="e">
        <f ca="1">C68</f>
        <v>#REF!</v>
      </c>
      <c r="E54" s="327" t="s">
        <v>1355</v>
      </c>
      <c r="F54" s="2551">
        <f>'数据-取费表'!B41</f>
        <v>5.6000000000000001E-2</v>
      </c>
      <c r="G54" s="2552"/>
      <c r="H54" s="2553"/>
      <c r="I54" s="1807"/>
      <c r="J54" s="2520">
        <v>3</v>
      </c>
      <c r="K54" s="3666" t="s">
        <v>1356</v>
      </c>
      <c r="L54" s="3666"/>
      <c r="M54" s="2522" t="e">
        <f t="shared" ca="1" si="0"/>
        <v>#REF!</v>
      </c>
      <c r="N54" s="2520" t="str">
        <f t="shared" si="0"/>
        <v>增值额×税（费）率</v>
      </c>
      <c r="O54" s="2524" t="str">
        <f t="shared" si="0"/>
        <v>免征</v>
      </c>
    </row>
    <row r="55" spans="1:35" ht="24" customHeight="1">
      <c r="A55" s="3726" t="s">
        <v>1357</v>
      </c>
      <c r="B55" s="3704"/>
      <c r="C55" s="3704"/>
      <c r="D55" s="2322" t="e">
        <f ca="1">IF(H55="个人住宅",0,ROUND(D45*I55,0))</f>
        <v>#REF!</v>
      </c>
      <c r="E55" s="2332" t="s">
        <v>1358</v>
      </c>
      <c r="F55" s="2551" t="str">
        <f>IF(H55="正常",I55,"免征")</f>
        <v>免征</v>
      </c>
      <c r="G55" s="2552"/>
      <c r="H55" s="2547"/>
      <c r="I55" s="165">
        <f>'数据-取费表'!B49</f>
        <v>5.0000000000000001E-4</v>
      </c>
      <c r="J55" s="2520">
        <f>IF(H59="非个人房产","",4)</f>
        <v>4</v>
      </c>
      <c r="K55" s="3666" t="str">
        <f>IF(H59="非个人房产","——","个人所得税")</f>
        <v>个人所得税</v>
      </c>
      <c r="L55" s="3666"/>
      <c r="M55" s="2525" t="e">
        <f ca="1">D59</f>
        <v>#REF!</v>
      </c>
      <c r="N55" s="2038" t="str">
        <f>E59</f>
        <v>差额计税</v>
      </c>
      <c r="O55" s="2526">
        <f>F59</f>
        <v>0.01</v>
      </c>
    </row>
    <row r="56" spans="1:35" ht="24.75">
      <c r="A56" s="3726" t="s">
        <v>1359</v>
      </c>
      <c r="B56" s="3704"/>
      <c r="C56" s="3704"/>
      <c r="D56" s="2322" t="e">
        <f ca="1">IF(H56="个人住宅",D57,D58)</f>
        <v>#REF!</v>
      </c>
      <c r="E56" s="2332" t="s">
        <v>1360</v>
      </c>
      <c r="F56" s="2551" t="str">
        <f>IF(H56="正常",F58,"免征")</f>
        <v>免征</v>
      </c>
      <c r="G56" s="2554" t="s">
        <v>1361</v>
      </c>
      <c r="H56" s="2555"/>
      <c r="I56" s="1808"/>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3" t="s">
        <v>1337</v>
      </c>
      <c r="B57" s="3690" t="s">
        <v>1362</v>
      </c>
      <c r="C57" s="3691"/>
      <c r="D57" s="1590">
        <v>0</v>
      </c>
      <c r="E57" s="324" t="s">
        <v>1339</v>
      </c>
      <c r="F57" s="302"/>
      <c r="G57" s="2552"/>
      <c r="H57" s="2556"/>
      <c r="I57" s="1808"/>
      <c r="J57" s="3666">
        <f>IF(AND(J55="",J56=""),4,IF(项目基本情况!K6="上海银行",结果表!J56+1,结果表!J55+1))</f>
        <v>5</v>
      </c>
      <c r="K57" s="3666" t="s">
        <v>1363</v>
      </c>
      <c r="L57" s="2527" t="s">
        <v>1364</v>
      </c>
      <c r="M57" s="2528"/>
      <c r="N57" s="2529">
        <f ca="1">SUMIF(M52:M56,"&lt;9e307")</f>
        <v>0</v>
      </c>
      <c r="O57" s="2530"/>
      <c r="P57" s="2687" t="e">
        <f ca="1">N57/M49</f>
        <v>#VALUE!</v>
      </c>
    </row>
    <row r="58" spans="1:35" ht="24.75">
      <c r="A58" s="2333" t="s">
        <v>1348</v>
      </c>
      <c r="B58" s="3690" t="s">
        <v>1365</v>
      </c>
      <c r="C58" s="3689"/>
      <c r="D58" s="2322" t="e">
        <f ca="1">IF(H58="转让取得",C81,C97)</f>
        <v>#REF!</v>
      </c>
      <c r="E58" s="2332" t="s">
        <v>1360</v>
      </c>
      <c r="F58" s="302" t="s">
        <v>24</v>
      </c>
      <c r="G58" s="2552"/>
      <c r="H58" s="2555"/>
      <c r="I58" s="1808"/>
      <c r="J58" s="3666"/>
      <c r="K58" s="3666"/>
      <c r="L58" s="2527" t="s">
        <v>1366</v>
      </c>
      <c r="M58" s="2531"/>
      <c r="N58" s="2532" t="str">
        <f ca="1">NUMBERSTRING(INT(N57*10000),2)&amp;"元整"</f>
        <v>零元整</v>
      </c>
      <c r="O58" s="2533"/>
    </row>
    <row r="59" spans="1:35" ht="24.75" thickBot="1">
      <c r="A59" s="3670" t="s">
        <v>1367</v>
      </c>
      <c r="B59" s="3671"/>
      <c r="C59" s="3671"/>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68">
        <f>J57+1</f>
        <v>6</v>
      </c>
      <c r="K59" s="3666" t="s">
        <v>1368</v>
      </c>
      <c r="L59" s="2520" t="s">
        <v>1364</v>
      </c>
      <c r="M59" s="2534"/>
      <c r="N59" s="2535" t="e">
        <f ca="1">M49-N57</f>
        <v>#VALUE!</v>
      </c>
      <c r="O59" s="2536"/>
    </row>
    <row r="60" spans="1:35" ht="12" customHeight="1">
      <c r="A60" s="1809"/>
      <c r="B60" s="1747"/>
      <c r="C60" s="1747"/>
      <c r="D60" s="1747"/>
      <c r="E60" s="1578"/>
      <c r="F60" s="1808"/>
      <c r="G60" s="1808"/>
      <c r="H60" s="1810"/>
      <c r="I60" s="129"/>
      <c r="J60" s="3669"/>
      <c r="K60" s="3666"/>
      <c r="L60" s="2527" t="s">
        <v>1366</v>
      </c>
      <c r="M60" s="2531"/>
      <c r="N60" s="2532" t="e">
        <f ca="1">NUMBERSTRING(INT(N59*10000),2)&amp;"元整"</f>
        <v>#VALUE!</v>
      </c>
      <c r="O60" s="2533"/>
    </row>
    <row r="61" spans="1:35" ht="13.5" thickBot="1">
      <c r="A61" s="3725" t="s">
        <v>1369</v>
      </c>
      <c r="B61" s="3725"/>
      <c r="C61" s="3725"/>
      <c r="D61" s="3725"/>
      <c r="E61" s="3725"/>
      <c r="F61" s="1808"/>
      <c r="G61" s="1808"/>
      <c r="H61" s="1810"/>
      <c r="I61" s="129"/>
      <c r="J61" s="2520">
        <f>J59+1</f>
        <v>7</v>
      </c>
      <c r="K61" s="3666" t="s">
        <v>1370</v>
      </c>
      <c r="L61" s="3666"/>
      <c r="M61" s="2537"/>
      <c r="N61" s="2538" t="e">
        <f ca="1">ROUND(N59*10000/'数据-汇总表'!E3,0)</f>
        <v>#VALUE!</v>
      </c>
      <c r="O61" s="2539"/>
    </row>
    <row r="62" spans="1:35" ht="12.75">
      <c r="A62" s="3685" t="s">
        <v>1371</v>
      </c>
      <c r="B62" s="3686"/>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49"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49"/>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49"/>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49"/>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49"/>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49"/>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49"/>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3" t="s">
        <v>1390</v>
      </c>
      <c r="B70" s="3694"/>
      <c r="C70" s="3694"/>
      <c r="D70" s="3694"/>
      <c r="E70" s="3694"/>
      <c r="F70" s="3694"/>
      <c r="G70" s="3694"/>
      <c r="H70" s="369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5" t="s">
        <v>1371</v>
      </c>
      <c r="B71" s="3686"/>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0" t="s">
        <v>1398</v>
      </c>
      <c r="F76" s="3689"/>
      <c r="G76" s="3689"/>
      <c r="H76" s="36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2" t="s">
        <v>1402</v>
      </c>
      <c r="F78" s="3683"/>
      <c r="G78" s="3683"/>
      <c r="H78" s="36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3" t="s">
        <v>1406</v>
      </c>
      <c r="B83" s="3694"/>
      <c r="C83" s="3694"/>
      <c r="D83" s="3694"/>
      <c r="E83" s="3694"/>
      <c r="F83" s="3694"/>
      <c r="G83" s="3694"/>
      <c r="H83" s="36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5" t="s">
        <v>1371</v>
      </c>
      <c r="B84" s="3686"/>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1" t="s">
        <v>2121</v>
      </c>
      <c r="H90" s="3652"/>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2" t="s">
        <v>1415</v>
      </c>
      <c r="F91" s="3683"/>
      <c r="G91" s="36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2" t="s">
        <v>1418</v>
      </c>
      <c r="F92" s="3683"/>
      <c r="G92" s="3683"/>
      <c r="H92" s="3684"/>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2" t="s">
        <v>1402</v>
      </c>
      <c r="F93" s="3683"/>
      <c r="G93" s="3683"/>
      <c r="H93" s="36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27" t="s">
        <v>1422</v>
      </c>
      <c r="F94" s="3728"/>
      <c r="G94" s="3728"/>
      <c r="H94" s="37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2" t="s">
        <v>1424</v>
      </c>
      <c r="B100" s="3633"/>
      <c r="C100" s="3633"/>
      <c r="D100" s="3667"/>
      <c r="E100" s="3633" t="s">
        <v>1425</v>
      </c>
      <c r="F100" s="3633"/>
      <c r="G100" s="3633"/>
      <c r="H100" s="3667"/>
      <c r="I100" s="129"/>
    </row>
    <row r="101" spans="1:35" ht="18.75" customHeight="1">
      <c r="A101" s="3675" t="s">
        <v>1426</v>
      </c>
      <c r="B101" s="3676"/>
      <c r="C101" s="2582" t="str">
        <f>C4</f>
        <v>比较法-住宅</v>
      </c>
      <c r="D101" s="2583" t="str">
        <f>D4</f>
        <v>收益法 (元)</v>
      </c>
      <c r="E101" s="3645" t="s">
        <v>1427</v>
      </c>
      <c r="F101" s="3646"/>
      <c r="G101" s="1827" t="s">
        <v>1428</v>
      </c>
      <c r="H101" s="2592" t="e">
        <f ca="1">H118</f>
        <v>#REF!</v>
      </c>
      <c r="I101" s="129"/>
    </row>
    <row r="102" spans="1:35" ht="18.75" customHeight="1">
      <c r="A102" s="3677" t="s">
        <v>1429</v>
      </c>
      <c r="B102" s="2581" t="s">
        <v>1428</v>
      </c>
      <c r="C102" s="2582">
        <f ca="1">IF(D32="楼面单价",ROUND(C19,0),C19)</f>
        <v>748.99</v>
      </c>
      <c r="D102" s="2583" t="e">
        <f ca="1">IF(D32="楼面单价",ROUND(D19,0),D19)</f>
        <v>#DIV/0!</v>
      </c>
      <c r="E102" s="3645"/>
      <c r="F102" s="3646"/>
      <c r="G102" s="1827" t="s">
        <v>1430</v>
      </c>
      <c r="H102" s="2552" t="e">
        <f ca="1">I118</f>
        <v>#REF!</v>
      </c>
      <c r="I102" s="129"/>
    </row>
    <row r="103" spans="1:35" ht="42.75" customHeight="1">
      <c r="A103" s="3677"/>
      <c r="B103" s="2581" t="s">
        <v>1430</v>
      </c>
      <c r="C103" s="2584">
        <f ca="1">C20</f>
        <v>127814</v>
      </c>
      <c r="D103" s="2585">
        <f ca="1">D20</f>
        <v>0</v>
      </c>
      <c r="E103" s="3638" t="s">
        <v>1431</v>
      </c>
      <c r="F103" s="3639"/>
      <c r="G103" s="1828" t="s">
        <v>1432</v>
      </c>
      <c r="H103" s="2592">
        <f>IF(D36="正常操作",H104+H105+H106,H105+H106)</f>
        <v>0</v>
      </c>
      <c r="I103" s="129"/>
    </row>
    <row r="104" spans="1:35" ht="18.75" customHeight="1">
      <c r="A104" s="3677"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87"/>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78" t="str">
        <f>IF(项目基本情况!E8="已注销","——","3.房地产抵押价值")</f>
        <v>3.房地产抵押价值</v>
      </c>
      <c r="F107" s="3646"/>
      <c r="G107" s="1827" t="s">
        <v>1428</v>
      </c>
      <c r="H107" s="2592" t="e">
        <f ca="1">IF(E107="——","——",H101-H103)</f>
        <v>#REF!</v>
      </c>
      <c r="I107" s="129"/>
    </row>
    <row r="108" spans="1:35" ht="18.75" customHeight="1">
      <c r="A108" s="129"/>
      <c r="B108" s="129"/>
      <c r="C108" s="129"/>
      <c r="D108" s="129"/>
      <c r="E108" s="3678"/>
      <c r="F108" s="3646"/>
      <c r="G108" s="1827" t="s">
        <v>1430</v>
      </c>
      <c r="H108" s="2552">
        <f ca="1">IF(H107=H101,H102,ROUND(H107*10000/'数据-汇总表'!E3,0))</f>
        <v>0</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v>
      </c>
      <c r="F109" s="3646"/>
      <c r="G109" s="1827" t="s">
        <v>1428</v>
      </c>
      <c r="H109" s="2595" t="str">
        <f>IF(E109="——","——",H101-H105-H106)</f>
        <v>——</v>
      </c>
      <c r="I109" s="129"/>
    </row>
    <row r="110" spans="1:35" ht="18.75" customHeight="1">
      <c r="A110" s="129"/>
      <c r="B110" s="129"/>
      <c r="C110" s="129"/>
      <c r="D110" s="129"/>
      <c r="E110" s="3678"/>
      <c r="F110" s="3646"/>
      <c r="G110" s="1827" t="s">
        <v>1430</v>
      </c>
      <c r="H110" s="2552"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7" t="s">
        <v>1428</v>
      </c>
      <c r="H111" s="2592" t="str">
        <f>IF(E111="——","——",N59)</f>
        <v>——</v>
      </c>
      <c r="I111" s="129"/>
    </row>
    <row r="112" spans="1:35" ht="18.75" customHeight="1" thickBot="1">
      <c r="A112" s="129"/>
      <c r="B112" s="129"/>
      <c r="C112" s="129"/>
      <c r="D112" s="129"/>
      <c r="E112" s="3680"/>
      <c r="F112" s="3681"/>
      <c r="G112" s="1830" t="s">
        <v>1430</v>
      </c>
      <c r="H112" s="2596" t="str">
        <f>IF(E111="——","——",N61)</f>
        <v>——</v>
      </c>
      <c r="I112" s="129"/>
    </row>
    <row r="113" spans="1:27" ht="18.75" customHeight="1">
      <c r="A113" s="129"/>
      <c r="B113" s="129"/>
      <c r="C113" s="129"/>
      <c r="D113" s="129"/>
      <c r="E113" s="3688" t="s">
        <v>1436</v>
      </c>
      <c r="F113" s="3688"/>
      <c r="G113" s="3688"/>
      <c r="H113" s="3688"/>
      <c r="I113" s="129"/>
    </row>
    <row r="114" spans="1:27" ht="3.75" customHeight="1">
      <c r="A114" s="1747"/>
      <c r="B114" s="1747"/>
      <c r="C114" s="1747"/>
      <c r="D114" s="1747"/>
      <c r="E114" s="1809"/>
      <c r="F114" s="1809"/>
      <c r="G114" s="1809"/>
      <c r="H114" s="1809"/>
      <c r="I114" s="1747"/>
    </row>
    <row r="115" spans="1:27" ht="18.75" customHeight="1">
      <c r="A115" s="3696" t="s">
        <v>1438</v>
      </c>
      <c r="B115" s="3697"/>
      <c r="C115" s="3697"/>
      <c r="D115" s="3697"/>
      <c r="E115" s="3697"/>
      <c r="F115" s="3697"/>
      <c r="G115" s="3697"/>
      <c r="H115" s="3697"/>
      <c r="I115" s="3698"/>
    </row>
    <row r="116" spans="1:27" ht="27" customHeight="1">
      <c r="A116" s="3653" t="s">
        <v>1439</v>
      </c>
      <c r="B116" s="3657" t="s">
        <v>1440</v>
      </c>
      <c r="C116" s="3657" t="s">
        <v>1441</v>
      </c>
      <c r="D116" s="3663" t="s">
        <v>1442</v>
      </c>
      <c r="E116" s="3664"/>
      <c r="F116" s="3695" t="s">
        <v>1443</v>
      </c>
      <c r="G116" s="3695"/>
      <c r="H116" s="3653" t="s">
        <v>1444</v>
      </c>
      <c r="I116" s="3653"/>
    </row>
    <row r="117" spans="1:27" ht="18.75" customHeight="1">
      <c r="A117" s="3653"/>
      <c r="B117" s="3658"/>
      <c r="C117" s="3658"/>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3" t="s">
        <v>1448</v>
      </c>
      <c r="B119" s="3653"/>
      <c r="C119" s="3653"/>
      <c r="D119" s="3659" t="e">
        <f ca="1">NUMBERSTRING(INT(D118*10000),2)&amp;"元整"</f>
        <v>#REF!</v>
      </c>
      <c r="E119" s="3660"/>
      <c r="F119" s="3659" t="e">
        <f ca="1">NUMBERSTRING(INT(F118*10000),2)&amp;"元整"</f>
        <v>#REF!</v>
      </c>
      <c r="G119" s="3660"/>
      <c r="H119" s="3659" t="e">
        <f ca="1">NUMBERSTRING(INT(H118*10000),2)&amp;"元整"</f>
        <v>#REF!</v>
      </c>
      <c r="I119" s="3660"/>
    </row>
    <row r="120" spans="1:27" ht="18.75" customHeight="1">
      <c r="A120" s="3654" t="str">
        <f>IF(项目基本情况!B9="房地产市场价值","",MID(E103,3,LEN(E103)-2))</f>
        <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9" t="s">
        <v>1448</v>
      </c>
      <c r="B121" s="3661"/>
      <c r="C121" s="3660"/>
      <c r="D121" s="3659" t="str">
        <f>IF(D120=0,"零元整",NUMBERSTRING(INT(D120*10000),2)&amp;"元整")</f>
        <v>零元整</v>
      </c>
      <c r="E121" s="3661"/>
      <c r="F121" s="3661"/>
      <c r="G121" s="3661"/>
      <c r="H121" s="3661"/>
      <c r="I121" s="3660"/>
      <c r="AA121" s="725"/>
    </row>
    <row r="122" spans="1:27" ht="18.75" customHeight="1">
      <c r="A122" s="3665" t="str">
        <f>IF(项目基本情况!B9="房地产市场价值","",MID(E107,3,LEN(E107)-2))</f>
        <v/>
      </c>
      <c r="B122" s="3665"/>
      <c r="C122" s="3665"/>
      <c r="D122" s="3654" t="e">
        <f ca="1">H107</f>
        <v>#REF!</v>
      </c>
      <c r="E122" s="3655"/>
      <c r="F122" s="3655"/>
      <c r="G122" s="3655"/>
      <c r="H122" s="3655"/>
      <c r="I122" s="3656"/>
      <c r="AA122" s="725"/>
    </row>
    <row r="123" spans="1:27" ht="18.75" customHeight="1">
      <c r="A123" s="3653" t="s">
        <v>1448</v>
      </c>
      <c r="B123" s="3653"/>
      <c r="C123" s="3653"/>
      <c r="D123" s="3659" t="e">
        <f ca="1">NUMBERSTRING(INT(D122*10000),2)&amp;"元整"</f>
        <v>#REF!</v>
      </c>
      <c r="E123" s="3661"/>
      <c r="F123" s="3661"/>
      <c r="G123" s="3661"/>
      <c r="H123" s="3661"/>
      <c r="I123" s="3660"/>
      <c r="AA123" s="725"/>
    </row>
    <row r="124" spans="1:27" ht="18.75" customHeight="1">
      <c r="A124" s="3665" t="str">
        <f>IF(项目基本情况!B9="房地产市场价值","",MID(E109,3,LEN(E109)-2))</f>
        <v/>
      </c>
      <c r="B124" s="3665"/>
      <c r="C124" s="3665"/>
      <c r="D124" s="3654" t="str">
        <f>H109</f>
        <v>——</v>
      </c>
      <c r="E124" s="3655"/>
      <c r="F124" s="3655"/>
      <c r="G124" s="3655"/>
      <c r="H124" s="3655"/>
      <c r="I124" s="3656"/>
      <c r="AA124" s="725"/>
    </row>
    <row r="125" spans="1:27" ht="18.75" customHeight="1">
      <c r="A125" s="3653" t="s">
        <v>1448</v>
      </c>
      <c r="B125" s="3653"/>
      <c r="C125" s="3653"/>
      <c r="D125" s="3659" t="e">
        <f>NUMBERSTRING(INT(D124*10000),2)&amp;"元整"</f>
        <v>#VALUE!</v>
      </c>
      <c r="E125" s="3661"/>
      <c r="F125" s="3661"/>
      <c r="G125" s="3661"/>
      <c r="H125" s="3661"/>
      <c r="I125" s="3660"/>
      <c r="AA125" s="725"/>
    </row>
    <row r="126" spans="1:27" ht="18.75" customHeight="1">
      <c r="A126" s="3665" t="str">
        <f>IF(项目基本情况!B9="房地产市场价值","",MID(E111,3,LEN(E111)-2))</f>
        <v/>
      </c>
      <c r="B126" s="3665"/>
      <c r="C126" s="3665"/>
      <c r="D126" s="3654" t="str">
        <f>H111</f>
        <v>——</v>
      </c>
      <c r="E126" s="3655"/>
      <c r="F126" s="3655"/>
      <c r="G126" s="3655"/>
      <c r="H126" s="3655"/>
      <c r="I126" s="3656"/>
      <c r="AA126" s="725"/>
    </row>
    <row r="127" spans="1:27" ht="18.75" customHeight="1">
      <c r="A127" s="3653" t="s">
        <v>1448</v>
      </c>
      <c r="B127" s="3653"/>
      <c r="C127" s="3653"/>
      <c r="D127" s="3659" t="e">
        <f>NUMBERSTRING(INT(D126*10000),2)&amp;"元整"</f>
        <v>#VALUE!</v>
      </c>
      <c r="E127" s="3661"/>
      <c r="F127" s="3661"/>
      <c r="G127" s="3661"/>
      <c r="H127" s="3661"/>
      <c r="I127" s="3660"/>
      <c r="AA127" s="725"/>
    </row>
    <row r="128" spans="1:27" ht="21.75" customHeight="1">
      <c r="A128" s="3662" t="s">
        <v>1449</v>
      </c>
      <c r="B128" s="3662"/>
      <c r="C128" s="3662"/>
      <c r="D128" s="3662"/>
      <c r="E128" s="3662"/>
      <c r="F128" s="3662"/>
      <c r="G128" s="3662"/>
      <c r="H128" s="3662"/>
      <c r="I128" s="3662"/>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2" t="s">
        <v>1540</v>
      </c>
    </row>
    <row r="43" spans="1:7" ht="13.5" customHeight="1">
      <c r="A43" s="780" t="s">
        <v>343</v>
      </c>
      <c r="B43" s="215" t="s">
        <v>1541</v>
      </c>
      <c r="C43" s="238">
        <f ca="1">ROUND(IF('数据-取费表'!B22&lt;=1,C39*F22*'数据-取费表'!B21/2,C39*(POWER((1+F22),'数据-取费表'!B21/2)-1)),0)</f>
        <v>0</v>
      </c>
      <c r="D43" s="238"/>
      <c r="E43" s="238"/>
      <c r="F43" s="239"/>
      <c r="G43" s="3733"/>
    </row>
    <row r="44" spans="1:7" ht="13.5" customHeight="1">
      <c r="A44" s="780" t="s">
        <v>344</v>
      </c>
      <c r="B44" s="215" t="s">
        <v>1542</v>
      </c>
      <c r="C44" s="238">
        <f ca="1">ROUND(IF('数据-取费表'!B22&lt;=1,C40*F22*'数据-取费表'!B21/2,C40*(POWER((1+F22),'数据-取费表'!B21/2)-1)),4)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11720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234</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437</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428</v>
      </c>
      <c r="D42" s="238"/>
      <c r="E42" s="238"/>
      <c r="F42" s="239"/>
      <c r="G42" s="3732" t="s">
        <v>1587</v>
      </c>
    </row>
    <row r="43" spans="1:7" ht="13.5" customHeight="1">
      <c r="A43" s="780" t="s">
        <v>343</v>
      </c>
      <c r="B43" s="215" t="s">
        <v>1541</v>
      </c>
      <c r="C43" s="238">
        <f ca="1">ROUND(IF('数据-取费表'!B22&lt;=1,C39*F22*'数据-取费表'!B20/2,C39*(POWER((1+F22),'数据-取费表'!B20/2)-1)),0)</f>
        <v>9</v>
      </c>
      <c r="D43" s="238"/>
      <c r="E43" s="238"/>
      <c r="F43" s="239"/>
      <c r="G43" s="3733"/>
    </row>
    <row r="44" spans="1:7" ht="13.5" customHeight="1">
      <c r="A44" s="780" t="s">
        <v>344</v>
      </c>
      <c r="B44" s="215" t="s">
        <v>1542</v>
      </c>
      <c r="C44" s="238">
        <f ca="1">ROUND(IF('数据-取费表'!B22&lt;=1,C40*F22*'数据-取费表'!B20/2,C40*(POWER((1+F22),'数据-取费表'!B20/2)-1)),4)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49" t="str">
        <f>项目基本情况!B1</f>
        <v>北京市房地产市场价值预评估</v>
      </c>
      <c r="C37" s="3549"/>
      <c r="D37" s="3549"/>
      <c r="E37" s="3549"/>
      <c r="F37" s="3549"/>
      <c r="G37" s="3549"/>
      <c r="H37" s="3549"/>
      <c r="I37" s="3549"/>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7" t="s">
        <v>690</v>
      </c>
      <c r="C6" s="1074">
        <f ca="1">ROUND(F6*F8*F7*(1-F9)/10000,0)</f>
        <v>0</v>
      </c>
      <c r="D6" s="155" t="s">
        <v>2101</v>
      </c>
      <c r="E6" s="302" t="s">
        <v>692</v>
      </c>
      <c r="F6" s="303">
        <f ca="1">INDIRECT("'数据-取费表'!u"&amp;$G$1)</f>
        <v>0</v>
      </c>
      <c r="G6" s="1384"/>
      <c r="H6" s="1069" t="s">
        <v>394</v>
      </c>
      <c r="I6" s="3737" t="s">
        <v>690</v>
      </c>
      <c r="J6" s="301">
        <f ca="1">ROUND(M6*M8*M7*(1-M9)/10000,0)</f>
        <v>0</v>
      </c>
      <c r="K6" s="155" t="s">
        <v>2100</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7" t="s">
        <v>690</v>
      </c>
      <c r="C6" s="1074">
        <f ca="1">ROUND(F6*F8*F7*(1-F9),0)</f>
        <v>0</v>
      </c>
      <c r="D6" s="155" t="s">
        <v>2098</v>
      </c>
      <c r="E6" s="302" t="s">
        <v>692</v>
      </c>
      <c r="F6" s="303">
        <f ca="1">INDIRECT("'数据-取费表'!u"&amp;$G$1)</f>
        <v>0</v>
      </c>
      <c r="G6" s="1384"/>
      <c r="H6" s="1069" t="s">
        <v>394</v>
      </c>
      <c r="I6" s="3737" t="s">
        <v>690</v>
      </c>
      <c r="J6" s="301">
        <f ca="1">ROUND(M6*M8*M7*(1-M9),0)</f>
        <v>0</v>
      </c>
      <c r="K6" s="1376" t="s">
        <v>2099</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0" t="s">
        <v>2313</v>
      </c>
      <c r="K2" s="3741"/>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2" t="s">
        <v>2323</v>
      </c>
      <c r="K3" s="3743"/>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2" t="s">
        <v>2325</v>
      </c>
      <c r="K4" s="3743"/>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44" t="s">
        <v>2329</v>
      </c>
      <c r="B6" s="3745"/>
      <c r="C6" s="3746"/>
      <c r="D6" s="2867"/>
      <c r="E6" s="2868"/>
      <c r="F6" s="2869"/>
      <c r="G6" s="2870"/>
      <c r="H6" s="2845"/>
      <c r="I6" s="2846"/>
      <c r="J6" s="3747">
        <v>1</v>
      </c>
      <c r="K6" s="3748"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7"/>
      <c r="K7" s="3749"/>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1" t="s">
        <v>2343</v>
      </c>
      <c r="C8" s="3752"/>
      <c r="D8" s="2886" t="s">
        <v>2344</v>
      </c>
      <c r="E8" s="2887" t="s">
        <v>2345</v>
      </c>
      <c r="F8" s="2888" t="s">
        <v>2346</v>
      </c>
      <c r="G8" s="2889"/>
      <c r="H8" s="2845"/>
      <c r="I8" s="2846"/>
      <c r="J8" s="3747"/>
      <c r="K8" s="3749"/>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1" t="s">
        <v>2349</v>
      </c>
      <c r="C9" s="3752"/>
      <c r="D9" s="2886">
        <f>ROUND(D6*E9,0)</f>
        <v>0</v>
      </c>
      <c r="E9" s="2890"/>
      <c r="F9" s="2891" t="s">
        <v>2350</v>
      </c>
      <c r="G9" s="2870"/>
      <c r="H9" s="2845"/>
      <c r="I9" s="2846"/>
      <c r="J9" s="3747"/>
      <c r="K9" s="3749"/>
      <c r="L9" s="2880" t="s">
        <v>2351</v>
      </c>
      <c r="M9" s="2881"/>
      <c r="N9" s="2857"/>
      <c r="O9" s="2882"/>
      <c r="P9" s="2882"/>
      <c r="Q9" s="2883">
        <v>365</v>
      </c>
      <c r="R9" s="2884">
        <f t="shared" si="0"/>
        <v>0</v>
      </c>
      <c r="S9" s="2838"/>
      <c r="T9" s="2838"/>
      <c r="U9" s="2838"/>
      <c r="V9" s="2846"/>
    </row>
    <row r="10" spans="1:22" s="2850" customFormat="1" ht="13.15" customHeight="1">
      <c r="A10" s="2885">
        <v>2</v>
      </c>
      <c r="B10" s="3751" t="s">
        <v>2352</v>
      </c>
      <c r="C10" s="3752"/>
      <c r="D10" s="2886">
        <f>ROUND(D6*E10,0)</f>
        <v>0</v>
      </c>
      <c r="E10" s="2890"/>
      <c r="F10" s="2891" t="s">
        <v>2353</v>
      </c>
      <c r="G10" s="2870"/>
      <c r="H10" s="2845"/>
      <c r="I10" s="2846"/>
      <c r="J10" s="3747"/>
      <c r="K10" s="3749"/>
      <c r="L10" s="2880" t="s">
        <v>2354</v>
      </c>
      <c r="M10" s="2881"/>
      <c r="N10" s="2857"/>
      <c r="O10" s="2882"/>
      <c r="P10" s="2882"/>
      <c r="Q10" s="2883">
        <v>365</v>
      </c>
      <c r="R10" s="2884">
        <f t="shared" si="0"/>
        <v>0</v>
      </c>
      <c r="S10" s="2838"/>
      <c r="T10" s="2838"/>
      <c r="U10" s="2838"/>
      <c r="V10" s="2846"/>
    </row>
    <row r="11" spans="1:22" s="2850" customFormat="1" ht="13.15" customHeight="1">
      <c r="A11" s="2885">
        <v>3</v>
      </c>
      <c r="B11" s="3751" t="s">
        <v>2355</v>
      </c>
      <c r="C11" s="3752"/>
      <c r="D11" s="2886">
        <f>D12+D14+D15+D16</f>
        <v>0</v>
      </c>
      <c r="E11" s="2892" t="e">
        <f>D11/D6</f>
        <v>#DIV/0!</v>
      </c>
      <c r="F11" s="2888"/>
      <c r="G11" s="2889"/>
      <c r="H11" s="2845"/>
      <c r="I11" s="2846"/>
      <c r="J11" s="3747"/>
      <c r="K11" s="3749"/>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3" t="s">
        <v>2358</v>
      </c>
      <c r="C12" s="3754"/>
      <c r="D12" s="2894">
        <f>ROUND(D13*1.2%*(1-30%),0)</f>
        <v>0</v>
      </c>
      <c r="E12" s="2895">
        <v>1.2E-2</v>
      </c>
      <c r="F12" s="2888" t="s">
        <v>2359</v>
      </c>
      <c r="G12" s="2889"/>
      <c r="H12" s="2845"/>
      <c r="I12" s="2846"/>
      <c r="J12" s="3747"/>
      <c r="K12" s="3749"/>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7"/>
      <c r="K13" s="3749"/>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3" t="s">
        <v>2364</v>
      </c>
      <c r="C14" s="3754"/>
      <c r="D14" s="2894">
        <f>ROUND(E14*B5/10000,0)</f>
        <v>0</v>
      </c>
      <c r="E14" s="2883"/>
      <c r="F14" s="2888" t="s">
        <v>2365</v>
      </c>
      <c r="G14" s="2889"/>
      <c r="H14" s="2845"/>
      <c r="I14" s="2846"/>
      <c r="J14" s="3747"/>
      <c r="K14" s="3750"/>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3" t="s">
        <v>2368</v>
      </c>
      <c r="C15" s="3754"/>
      <c r="D15" s="2894">
        <f>ROUND(D6*E15,0)</f>
        <v>0</v>
      </c>
      <c r="E15" s="2895">
        <v>5.5E-2</v>
      </c>
      <c r="F15" s="2888" t="s">
        <v>2369</v>
      </c>
      <c r="G15" s="2870"/>
      <c r="H15" s="2845"/>
      <c r="I15" s="2846"/>
      <c r="J15" s="3747">
        <v>2</v>
      </c>
      <c r="K15" s="3748"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3" t="s">
        <v>2377</v>
      </c>
      <c r="C16" s="3754"/>
      <c r="D16" s="2905">
        <f>D6*E16</f>
        <v>0</v>
      </c>
      <c r="E16" s="2906"/>
      <c r="F16" s="2891" t="s">
        <v>2378</v>
      </c>
      <c r="G16" s="2870"/>
      <c r="H16" s="2845"/>
      <c r="I16" s="2846"/>
      <c r="J16" s="3747"/>
      <c r="K16" s="3749"/>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5" t="s">
        <v>2380</v>
      </c>
      <c r="C17" s="3756"/>
      <c r="D17" s="2908">
        <f>ROUND(D6*E17,0)</f>
        <v>0</v>
      </c>
      <c r="E17" s="2909"/>
      <c r="F17" s="2910" t="s">
        <v>2381</v>
      </c>
      <c r="G17" s="2870"/>
      <c r="H17" s="2845"/>
      <c r="I17" s="2846"/>
      <c r="J17" s="3747"/>
      <c r="K17" s="3749"/>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7"/>
      <c r="K18" s="3749"/>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7"/>
      <c r="K19" s="3750"/>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7"/>
      <c r="K21" s="3749"/>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7"/>
      <c r="K22" s="3749"/>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7"/>
      <c r="K23" s="3749"/>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7"/>
      <c r="K24" s="3750"/>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7">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0" t="s">
        <v>2313</v>
      </c>
      <c r="K32" s="3741"/>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2" t="s">
        <v>2323</v>
      </c>
      <c r="K33" s="3743"/>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2" t="s">
        <v>2325</v>
      </c>
      <c r="K34" s="374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7">
        <v>1</v>
      </c>
      <c r="K36" s="3748"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7"/>
      <c r="K40" s="3750"/>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7">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59" t="s">
        <v>1650</v>
      </c>
      <c r="C5" s="3760"/>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tabSelected="1" view="pageBreakPreview" topLeftCell="A31" zoomScaleNormal="100" zoomScaleSheetLayoutView="100" workbookViewId="0">
      <selection activeCell="B45" sqref="B45:C45"/>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2" t="s">
        <v>3372</v>
      </c>
      <c r="B1" s="3762"/>
      <c r="C1" s="3762"/>
      <c r="D1" s="3762"/>
      <c r="E1" s="3762"/>
      <c r="F1" s="3762"/>
      <c r="G1" s="3762"/>
      <c r="H1" s="3762"/>
      <c r="I1" s="3762"/>
      <c r="K1" s="3763" t="s">
        <v>3373</v>
      </c>
      <c r="L1" s="3453" t="s">
        <v>3374</v>
      </c>
      <c r="M1" s="3454">
        <v>0</v>
      </c>
      <c r="N1" s="3524"/>
      <c r="O1" s="3524"/>
    </row>
    <row r="2" spans="1:16" ht="15.75" customHeight="1">
      <c r="A2" s="3455" t="s">
        <v>2640</v>
      </c>
      <c r="B2" s="3456" t="s">
        <v>3375</v>
      </c>
      <c r="C2" s="3764" t="s">
        <v>3376</v>
      </c>
      <c r="D2" s="3765"/>
      <c r="E2" s="3765"/>
      <c r="F2" s="3766"/>
      <c r="G2" s="3457" t="s">
        <v>3377</v>
      </c>
      <c r="H2" s="3767" t="s">
        <v>3378</v>
      </c>
      <c r="I2" s="3767"/>
      <c r="K2" s="3763"/>
      <c r="L2" s="3525"/>
    </row>
    <row r="3" spans="1:16">
      <c r="A3" s="3457" t="s">
        <v>3379</v>
      </c>
      <c r="B3" s="3460" t="s">
        <v>3380</v>
      </c>
      <c r="C3" s="3764">
        <f>ROUND('比较法-住宅'!C48*'比较法-住宅'!C33,0)</f>
        <v>7489900</v>
      </c>
      <c r="D3" s="3765"/>
      <c r="E3" s="3765"/>
      <c r="F3" s="3766"/>
      <c r="G3" s="3457" t="s">
        <v>3381</v>
      </c>
      <c r="H3" s="3460" t="s">
        <v>3382</v>
      </c>
      <c r="I3" s="3461">
        <f>'数据-汇总表'!E3</f>
        <v>58.6</v>
      </c>
      <c r="K3" s="3763"/>
      <c r="L3" s="3453" t="s">
        <v>3383</v>
      </c>
      <c r="M3" s="3458" t="s">
        <v>3384</v>
      </c>
      <c r="N3" s="3459"/>
      <c r="O3" s="3459"/>
    </row>
    <row r="4" spans="1:16">
      <c r="A4" s="3767" t="s">
        <v>3385</v>
      </c>
      <c r="B4" s="3768" t="s">
        <v>3386</v>
      </c>
      <c r="C4" s="3769">
        <f>ROUND(C3*(I4-I6)/(1-((1+I6)/(1+I4))^I5),0)</f>
        <v>258704</v>
      </c>
      <c r="D4" s="3770"/>
      <c r="E4" s="3770"/>
      <c r="F4" s="3771"/>
      <c r="G4" s="3767" t="s">
        <v>3387</v>
      </c>
      <c r="H4" s="3462" t="s">
        <v>3388</v>
      </c>
      <c r="I4" s="3463">
        <v>0.05</v>
      </c>
      <c r="K4" s="3763"/>
      <c r="L4" s="3453" t="s">
        <v>3389</v>
      </c>
      <c r="M4" s="3526">
        <f>ROUND(1-(1-M1)*M2/M3,2)</f>
        <v>1</v>
      </c>
      <c r="N4" s="3459"/>
      <c r="O4" s="3459"/>
    </row>
    <row r="5" spans="1:16" s="3527" customFormat="1" ht="18" customHeight="1">
      <c r="A5" s="3767"/>
      <c r="B5" s="3768"/>
      <c r="C5" s="3772"/>
      <c r="D5" s="3773"/>
      <c r="E5" s="3773"/>
      <c r="F5" s="3774"/>
      <c r="G5" s="3767"/>
      <c r="H5" s="3460" t="s">
        <v>3390</v>
      </c>
      <c r="I5" s="3464">
        <v>70</v>
      </c>
      <c r="J5" s="3465"/>
      <c r="K5" s="3763"/>
      <c r="L5" s="3453" t="s">
        <v>3391</v>
      </c>
      <c r="M5" s="3466">
        <v>0.5</v>
      </c>
      <c r="N5" s="3459"/>
      <c r="O5" s="3459"/>
    </row>
    <row r="6" spans="1:16" s="3527" customFormat="1" ht="18" customHeight="1">
      <c r="A6" s="3767"/>
      <c r="B6" s="3768"/>
      <c r="C6" s="3775"/>
      <c r="D6" s="3776"/>
      <c r="E6" s="3776"/>
      <c r="F6" s="3777"/>
      <c r="G6" s="3767"/>
      <c r="H6" s="3460" t="s">
        <v>3392</v>
      </c>
      <c r="I6" s="3463">
        <v>0.02</v>
      </c>
      <c r="J6" s="3467"/>
      <c r="K6" s="3778" t="s">
        <v>3393</v>
      </c>
      <c r="L6" s="3468" t="s">
        <v>3394</v>
      </c>
      <c r="M6" s="3469" t="s">
        <v>3395</v>
      </c>
      <c r="N6" s="3469" t="s">
        <v>3396</v>
      </c>
      <c r="O6" s="3469" t="s">
        <v>3397</v>
      </c>
      <c r="P6" s="3469" t="s">
        <v>3398</v>
      </c>
    </row>
    <row r="7" spans="1:16" s="3527" customFormat="1" ht="18" customHeight="1">
      <c r="A7" s="3457" t="s">
        <v>3399</v>
      </c>
      <c r="B7" s="3460" t="s">
        <v>3400</v>
      </c>
      <c r="C7" s="3764">
        <f>ROUND(C23*I7,0)</f>
        <v>176433</v>
      </c>
      <c r="D7" s="3765"/>
      <c r="E7" s="3765"/>
      <c r="F7" s="3766"/>
      <c r="G7" s="3457" t="s">
        <v>3401</v>
      </c>
      <c r="H7" s="3460" t="s">
        <v>3402</v>
      </c>
      <c r="I7" s="3470">
        <v>0.6</v>
      </c>
      <c r="K7" s="3778"/>
      <c r="L7" s="3468" t="s">
        <v>3403</v>
      </c>
      <c r="M7" s="3469">
        <v>100</v>
      </c>
      <c r="N7" s="3469" t="s">
        <v>3404</v>
      </c>
      <c r="O7" s="3469">
        <v>80</v>
      </c>
      <c r="P7" s="3471">
        <v>0.3</v>
      </c>
    </row>
    <row r="8" spans="1:16" s="3527" customFormat="1" ht="18" customHeight="1">
      <c r="A8" s="3455" t="s">
        <v>3405</v>
      </c>
      <c r="B8" s="3460" t="s">
        <v>3406</v>
      </c>
      <c r="C8" s="3764">
        <f>ROUND(I8*I3,0)</f>
        <v>175800</v>
      </c>
      <c r="D8" s="3765"/>
      <c r="E8" s="3765"/>
      <c r="F8" s="3766"/>
      <c r="G8" s="3457" t="s">
        <v>3407</v>
      </c>
      <c r="H8" s="3460" t="s">
        <v>3408</v>
      </c>
      <c r="I8" s="3457">
        <v>3000</v>
      </c>
      <c r="J8" s="3472">
        <f>D36</f>
        <v>179</v>
      </c>
      <c r="K8" s="3778"/>
      <c r="L8" s="3468" t="s">
        <v>3409</v>
      </c>
      <c r="M8" s="3469">
        <v>100</v>
      </c>
      <c r="N8" s="3469" t="s">
        <v>3404</v>
      </c>
      <c r="O8" s="3469">
        <v>80</v>
      </c>
      <c r="P8" s="3471">
        <v>0.5</v>
      </c>
    </row>
    <row r="9" spans="1:16" s="3527" customFormat="1" ht="18" customHeight="1">
      <c r="A9" s="3455" t="s">
        <v>3410</v>
      </c>
      <c r="B9" s="3460" t="s">
        <v>3411</v>
      </c>
      <c r="C9" s="3764">
        <f>ROUND(C8*H9,0)</f>
        <v>5274</v>
      </c>
      <c r="D9" s="3765"/>
      <c r="E9" s="3765"/>
      <c r="F9" s="3766"/>
      <c r="G9" s="3457" t="s">
        <v>3412</v>
      </c>
      <c r="H9" s="3779">
        <v>0.03</v>
      </c>
      <c r="I9" s="3779"/>
      <c r="J9" s="3472">
        <f>D37</f>
        <v>461</v>
      </c>
      <c r="K9" s="3778"/>
      <c r="L9" s="3468" t="s">
        <v>3413</v>
      </c>
      <c r="M9" s="3469">
        <v>100</v>
      </c>
      <c r="N9" s="3469" t="s">
        <v>3404</v>
      </c>
      <c r="O9" s="3469">
        <v>80</v>
      </c>
      <c r="P9" s="3471">
        <f>1-P7-P8</f>
        <v>0.19999999999999996</v>
      </c>
    </row>
    <row r="10" spans="1:16" s="3527" customFormat="1" ht="18" customHeight="1">
      <c r="A10" s="3455" t="s">
        <v>3414</v>
      </c>
      <c r="B10" s="3460" t="s">
        <v>3415</v>
      </c>
      <c r="C10" s="3764">
        <f>ROUND(C8*H10,0)</f>
        <v>17580</v>
      </c>
      <c r="D10" s="3765"/>
      <c r="E10" s="3765"/>
      <c r="F10" s="3766"/>
      <c r="G10" s="3457" t="s">
        <v>3412</v>
      </c>
      <c r="H10" s="3779">
        <v>0.1</v>
      </c>
      <c r="I10" s="3779"/>
      <c r="J10" s="3472">
        <f>D38</f>
        <v>179</v>
      </c>
      <c r="K10" s="3778"/>
      <c r="L10" s="3473" t="s">
        <v>3391</v>
      </c>
      <c r="M10" s="3474">
        <f>1-M5</f>
        <v>0.5</v>
      </c>
      <c r="N10" s="3469" t="s">
        <v>3389</v>
      </c>
      <c r="O10" s="3473">
        <f>ROUND((O7*P7+O8*P8+O9*P9)/100,2)</f>
        <v>0.8</v>
      </c>
      <c r="P10" s="3475"/>
    </row>
    <row r="11" spans="1:16" s="3527" customFormat="1" ht="29.25" customHeight="1">
      <c r="A11" s="3455" t="s">
        <v>3416</v>
      </c>
      <c r="B11" s="3460" t="s">
        <v>3417</v>
      </c>
      <c r="C11" s="3764">
        <f>ROUND(I11*I3,0)</f>
        <v>11720</v>
      </c>
      <c r="D11" s="3765"/>
      <c r="E11" s="3765"/>
      <c r="F11" s="3766"/>
      <c r="G11" s="3457" t="s">
        <v>3418</v>
      </c>
      <c r="H11" s="3460" t="s">
        <v>3419</v>
      </c>
      <c r="I11" s="3457">
        <v>200</v>
      </c>
      <c r="J11" s="3465"/>
      <c r="K11" s="3523"/>
      <c r="L11" s="3523"/>
    </row>
    <row r="12" spans="1:16" s="3527" customFormat="1" ht="18" customHeight="1">
      <c r="A12" s="3455" t="s">
        <v>3420</v>
      </c>
      <c r="B12" s="3460" t="s">
        <v>3421</v>
      </c>
      <c r="C12" s="3764">
        <f>ROUND(C8*H12,0)</f>
        <v>2637</v>
      </c>
      <c r="D12" s="3765"/>
      <c r="E12" s="3765"/>
      <c r="F12" s="3766"/>
      <c r="G12" s="3457" t="s">
        <v>3412</v>
      </c>
      <c r="H12" s="3779">
        <v>1.4999999999999999E-2</v>
      </c>
      <c r="I12" s="3779"/>
      <c r="J12" s="3476" t="s">
        <v>3422</v>
      </c>
      <c r="L12" s="3477"/>
    </row>
    <row r="13" spans="1:16" s="3527" customFormat="1" ht="18" customHeight="1">
      <c r="A13" s="3455" t="s">
        <v>434</v>
      </c>
      <c r="B13" s="3460" t="s">
        <v>3423</v>
      </c>
      <c r="C13" s="3764">
        <f>SUM(C8:F12)</f>
        <v>213011</v>
      </c>
      <c r="D13" s="3765"/>
      <c r="E13" s="3765"/>
      <c r="F13" s="3766"/>
      <c r="G13" s="3767" t="s">
        <v>3424</v>
      </c>
      <c r="H13" s="3767"/>
      <c r="I13" s="3767"/>
      <c r="J13" s="3476" t="s">
        <v>3425</v>
      </c>
      <c r="L13" s="3477"/>
    </row>
    <row r="14" spans="1:16" s="3527" customFormat="1" ht="18" customHeight="1">
      <c r="A14" s="3455" t="s">
        <v>3426</v>
      </c>
      <c r="B14" s="3460" t="s">
        <v>3427</v>
      </c>
      <c r="C14" s="3764">
        <f>ROUND(C13*H14,0)</f>
        <v>4260</v>
      </c>
      <c r="D14" s="3765"/>
      <c r="E14" s="3765"/>
      <c r="F14" s="3766"/>
      <c r="G14" s="3457" t="s">
        <v>3428</v>
      </c>
      <c r="H14" s="3779">
        <v>0.02</v>
      </c>
      <c r="I14" s="3779"/>
      <c r="J14" s="3465"/>
      <c r="L14" s="3477"/>
    </row>
    <row r="15" spans="1:16" s="3527" customFormat="1" ht="18" customHeight="1">
      <c r="A15" s="3455" t="s">
        <v>389</v>
      </c>
      <c r="B15" s="3460" t="s">
        <v>3429</v>
      </c>
      <c r="C15" s="3784">
        <f>H15</f>
        <v>0.02</v>
      </c>
      <c r="D15" s="3785"/>
      <c r="E15" s="3782" t="str">
        <f>E18</f>
        <v>V</v>
      </c>
      <c r="F15" s="3783"/>
      <c r="G15" s="3457" t="s">
        <v>3430</v>
      </c>
      <c r="H15" s="3779">
        <v>0.02</v>
      </c>
      <c r="I15" s="3779"/>
      <c r="J15" s="3478"/>
      <c r="K15" s="3528"/>
    </row>
    <row r="16" spans="1:16" s="3527" customFormat="1" ht="18" customHeight="1">
      <c r="A16" s="3479" t="s">
        <v>390</v>
      </c>
      <c r="B16" s="3480" t="s">
        <v>3431</v>
      </c>
      <c r="C16" s="3481">
        <f>C17</f>
        <v>10320</v>
      </c>
      <c r="D16" s="3482" t="s">
        <v>3432</v>
      </c>
      <c r="E16" s="3483">
        <f>C18</f>
        <v>9.5E-4</v>
      </c>
      <c r="F16" s="3484" t="str">
        <f>E18</f>
        <v>V</v>
      </c>
      <c r="G16" s="3764" t="s">
        <v>3433</v>
      </c>
      <c r="H16" s="3765"/>
      <c r="I16" s="3766"/>
      <c r="J16" s="3465"/>
      <c r="K16" s="3523"/>
    </row>
    <row r="17" spans="1:12" s="3527" customFormat="1" ht="18" customHeight="1">
      <c r="A17" s="3455" t="s">
        <v>3434</v>
      </c>
      <c r="B17" s="3460" t="s">
        <v>3435</v>
      </c>
      <c r="C17" s="3764">
        <f>ROUND((C13+C14)*I18*(I17/2),0)</f>
        <v>10320</v>
      </c>
      <c r="D17" s="3765"/>
      <c r="E17" s="3765"/>
      <c r="F17" s="3766"/>
      <c r="G17" s="3481" t="s">
        <v>3436</v>
      </c>
      <c r="H17" s="3460" t="s">
        <v>3437</v>
      </c>
      <c r="I17" s="3457">
        <v>2</v>
      </c>
      <c r="J17" s="3476" t="s">
        <v>3438</v>
      </c>
      <c r="K17" s="3523"/>
      <c r="L17" s="3523"/>
    </row>
    <row r="18" spans="1:12" s="3527" customFormat="1" ht="18" customHeight="1">
      <c r="A18" s="3455" t="s">
        <v>3439</v>
      </c>
      <c r="B18" s="3460" t="s">
        <v>3440</v>
      </c>
      <c r="C18" s="3780">
        <f>H15*I18*I17/2</f>
        <v>9.5E-4</v>
      </c>
      <c r="D18" s="3781"/>
      <c r="E18" s="3782" t="s">
        <v>3441</v>
      </c>
      <c r="F18" s="3783"/>
      <c r="G18" s="3481" t="s">
        <v>3442</v>
      </c>
      <c r="H18" s="3460" t="s">
        <v>3443</v>
      </c>
      <c r="I18" s="3485">
        <v>4.7500000000000001E-2</v>
      </c>
      <c r="J18" s="3476" t="s">
        <v>3444</v>
      </c>
      <c r="K18" s="3523"/>
      <c r="L18" s="3523"/>
    </row>
    <row r="19" spans="1:12" s="3527" customFormat="1" ht="27" customHeight="1">
      <c r="A19" s="3455" t="s">
        <v>391</v>
      </c>
      <c r="B19" s="3460" t="s">
        <v>3445</v>
      </c>
      <c r="C19" s="3481">
        <f>C20</f>
        <v>43454</v>
      </c>
      <c r="D19" s="3482" t="s">
        <v>3432</v>
      </c>
      <c r="E19" s="3482">
        <f>C21</f>
        <v>4.0000000000000001E-3</v>
      </c>
      <c r="F19" s="3484" t="str">
        <f>E21</f>
        <v>V</v>
      </c>
      <c r="G19" s="3764" t="s">
        <v>3446</v>
      </c>
      <c r="H19" s="3765"/>
      <c r="I19" s="3766"/>
      <c r="J19" s="3465"/>
      <c r="K19" s="3523"/>
      <c r="L19" s="3523"/>
    </row>
    <row r="20" spans="1:12" s="3527" customFormat="1" ht="26.25" customHeight="1">
      <c r="A20" s="3455" t="s">
        <v>3447</v>
      </c>
      <c r="B20" s="3460" t="s">
        <v>3448</v>
      </c>
      <c r="C20" s="3764">
        <f>ROUND((C13+C14)*I20,0)</f>
        <v>43454</v>
      </c>
      <c r="D20" s="3765"/>
      <c r="E20" s="3765"/>
      <c r="F20" s="3766"/>
      <c r="G20" s="3457" t="s">
        <v>3449</v>
      </c>
      <c r="H20" s="3788" t="s">
        <v>3450</v>
      </c>
      <c r="I20" s="3790">
        <v>0.2</v>
      </c>
      <c r="J20" s="3476" t="s">
        <v>3451</v>
      </c>
      <c r="K20" s="3523"/>
      <c r="L20" s="3523"/>
    </row>
    <row r="21" spans="1:12" s="3527" customFormat="1" ht="27" customHeight="1">
      <c r="A21" s="3455" t="s">
        <v>3447</v>
      </c>
      <c r="B21" s="3460" t="s">
        <v>3452</v>
      </c>
      <c r="C21" s="3784">
        <f>H15*I20</f>
        <v>4.0000000000000001E-3</v>
      </c>
      <c r="D21" s="3785"/>
      <c r="E21" s="3782" t="s">
        <v>3441</v>
      </c>
      <c r="F21" s="3783"/>
      <c r="G21" s="3457" t="s">
        <v>3453</v>
      </c>
      <c r="H21" s="3789"/>
      <c r="I21" s="3790"/>
      <c r="J21" s="3465"/>
      <c r="K21" s="3523"/>
      <c r="L21" s="3523"/>
    </row>
    <row r="22" spans="1:12" s="3527" customFormat="1" ht="18" customHeight="1">
      <c r="A22" s="3455" t="s">
        <v>392</v>
      </c>
      <c r="B22" s="3460" t="s">
        <v>3454</v>
      </c>
      <c r="C22" s="3784">
        <f>ROUND(H22/1.05,4)</f>
        <v>5.33E-2</v>
      </c>
      <c r="D22" s="3785"/>
      <c r="E22" s="3782" t="s">
        <v>3441</v>
      </c>
      <c r="F22" s="3783"/>
      <c r="G22" s="3457" t="s">
        <v>3455</v>
      </c>
      <c r="H22" s="3779">
        <v>5.6000000000000001E-2</v>
      </c>
      <c r="I22" s="3779"/>
      <c r="J22" s="3486"/>
      <c r="K22" s="3523"/>
      <c r="L22" s="3523"/>
    </row>
    <row r="23" spans="1:12" s="3527" customFormat="1" ht="18" customHeight="1">
      <c r="A23" s="3455" t="s">
        <v>3456</v>
      </c>
      <c r="B23" s="3460" t="s">
        <v>3457</v>
      </c>
      <c r="C23" s="3764">
        <f>ROUND((C13+C14+C17+C20)/(1-H15-C18-C21-C22),0)</f>
        <v>294055</v>
      </c>
      <c r="D23" s="3765"/>
      <c r="E23" s="3765"/>
      <c r="F23" s="3766"/>
      <c r="G23" s="3764" t="s">
        <v>3458</v>
      </c>
      <c r="H23" s="3765"/>
      <c r="I23" s="3766"/>
      <c r="J23" s="3486"/>
      <c r="K23" s="3523"/>
      <c r="L23" s="3523"/>
    </row>
    <row r="24" spans="1:12" s="3527" customFormat="1" ht="18" customHeight="1">
      <c r="A24" s="3455" t="s">
        <v>3459</v>
      </c>
      <c r="B24" s="3460" t="s">
        <v>3460</v>
      </c>
      <c r="C24" s="3487">
        <f>C27+C28</f>
        <v>6234</v>
      </c>
      <c r="D24" s="3488" t="s">
        <v>3461</v>
      </c>
      <c r="E24" s="3786">
        <f>H25+E29+E26</f>
        <v>0.13999999999999999</v>
      </c>
      <c r="F24" s="3787"/>
      <c r="G24" s="3767" t="s">
        <v>3462</v>
      </c>
      <c r="H24" s="3767"/>
      <c r="I24" s="3767"/>
      <c r="J24" s="3486"/>
      <c r="K24" s="3523"/>
      <c r="L24" s="3523"/>
    </row>
    <row r="25" spans="1:12" s="3527" customFormat="1" ht="18" customHeight="1">
      <c r="A25" s="3455" t="s">
        <v>434</v>
      </c>
      <c r="B25" s="3460" t="s">
        <v>3463</v>
      </c>
      <c r="C25" s="3784" t="s">
        <v>3464</v>
      </c>
      <c r="D25" s="3785"/>
      <c r="E25" s="3786">
        <f>ROUND(H25/1.05,4)</f>
        <v>0.1143</v>
      </c>
      <c r="F25" s="3787"/>
      <c r="G25" s="3457" t="s">
        <v>3465</v>
      </c>
      <c r="H25" s="3791">
        <v>0.12</v>
      </c>
      <c r="I25" s="3791"/>
      <c r="J25" s="3478"/>
      <c r="K25" s="3523"/>
      <c r="L25" s="3523"/>
    </row>
    <row r="26" spans="1:12" s="3527" customFormat="1" ht="18" customHeight="1">
      <c r="A26" s="3455" t="s">
        <v>3426</v>
      </c>
      <c r="B26" s="3460" t="s">
        <v>3466</v>
      </c>
      <c r="C26" s="3784" t="s">
        <v>3464</v>
      </c>
      <c r="D26" s="3785"/>
      <c r="E26" s="3786">
        <v>0</v>
      </c>
      <c r="F26" s="3787"/>
      <c r="G26" s="3457" t="s">
        <v>3467</v>
      </c>
      <c r="H26" s="3792">
        <v>0</v>
      </c>
      <c r="I26" s="3793"/>
      <c r="J26" s="3478"/>
      <c r="K26" s="3523"/>
      <c r="L26" s="3523"/>
    </row>
    <row r="27" spans="1:12" s="3527" customFormat="1" ht="18" customHeight="1">
      <c r="A27" s="3455" t="s">
        <v>389</v>
      </c>
      <c r="B27" s="3460" t="s">
        <v>3468</v>
      </c>
      <c r="C27" s="3764">
        <f>ROUND(C23*H27,0)</f>
        <v>5881</v>
      </c>
      <c r="D27" s="3765"/>
      <c r="E27" s="3765"/>
      <c r="F27" s="3766"/>
      <c r="G27" s="3457" t="s">
        <v>3469</v>
      </c>
      <c r="H27" s="3791">
        <v>0.02</v>
      </c>
      <c r="I27" s="3791"/>
      <c r="J27" s="3478"/>
      <c r="K27" s="3523"/>
      <c r="L27" s="3523"/>
    </row>
    <row r="28" spans="1:12" s="3527" customFormat="1" ht="18" customHeight="1">
      <c r="A28" s="3455" t="s">
        <v>390</v>
      </c>
      <c r="B28" s="3460" t="s">
        <v>3470</v>
      </c>
      <c r="C28" s="3764">
        <f>ROUND(C7*H28,0)</f>
        <v>353</v>
      </c>
      <c r="D28" s="3765"/>
      <c r="E28" s="3765"/>
      <c r="F28" s="3766"/>
      <c r="G28" s="3457" t="s">
        <v>3471</v>
      </c>
      <c r="H28" s="3794">
        <v>2E-3</v>
      </c>
      <c r="I28" s="3794"/>
      <c r="J28" s="3465"/>
      <c r="K28" s="3523"/>
      <c r="L28" s="3523"/>
    </row>
    <row r="29" spans="1:12" s="3527" customFormat="1" ht="18" customHeight="1">
      <c r="A29" s="3455" t="s">
        <v>391</v>
      </c>
      <c r="B29" s="3460" t="s">
        <v>3472</v>
      </c>
      <c r="C29" s="3784" t="s">
        <v>3464</v>
      </c>
      <c r="D29" s="3785"/>
      <c r="E29" s="3786">
        <f>H29</f>
        <v>0.02</v>
      </c>
      <c r="F29" s="3787"/>
      <c r="G29" s="3457" t="s">
        <v>3473</v>
      </c>
      <c r="H29" s="3791">
        <v>0.02</v>
      </c>
      <c r="I29" s="3791"/>
      <c r="J29" s="3492"/>
      <c r="K29" s="3523"/>
      <c r="L29" s="3523"/>
    </row>
    <row r="30" spans="1:12" s="3527" customFormat="1" ht="18" customHeight="1">
      <c r="A30" s="3457" t="s">
        <v>3474</v>
      </c>
      <c r="B30" s="3460" t="s">
        <v>3475</v>
      </c>
      <c r="C30" s="3764">
        <f>ROUND((C4+C24)/(1-E24),0)</f>
        <v>308067</v>
      </c>
      <c r="D30" s="3765"/>
      <c r="E30" s="3765"/>
      <c r="F30" s="3766"/>
      <c r="G30" s="3767" t="s">
        <v>3476</v>
      </c>
      <c r="H30" s="3767"/>
      <c r="I30" s="3767"/>
      <c r="J30" s="3489" t="s">
        <v>3477</v>
      </c>
      <c r="K30" s="3523"/>
      <c r="L30" s="3523"/>
    </row>
    <row r="31" spans="1:12" s="3527" customFormat="1" ht="18" customHeight="1">
      <c r="A31" s="3767" t="s">
        <v>3478</v>
      </c>
      <c r="B31" s="3768" t="s">
        <v>3605</v>
      </c>
      <c r="C31" s="3795">
        <f>ROUND(C30/I31/I32/I3,0)</f>
        <v>461</v>
      </c>
      <c r="D31" s="3796"/>
      <c r="E31" s="3796"/>
      <c r="F31" s="3797"/>
      <c r="G31" s="3767" t="s">
        <v>3479</v>
      </c>
      <c r="H31" s="3460" t="s">
        <v>3480</v>
      </c>
      <c r="I31" s="3457">
        <v>12</v>
      </c>
      <c r="J31" s="3490"/>
      <c r="K31" s="3523"/>
      <c r="L31" s="3523"/>
    </row>
    <row r="32" spans="1:12" s="3527" customFormat="1" ht="18" customHeight="1">
      <c r="A32" s="3767"/>
      <c r="B32" s="3768"/>
      <c r="C32" s="3798"/>
      <c r="D32" s="3799"/>
      <c r="E32" s="3799"/>
      <c r="F32" s="3800"/>
      <c r="G32" s="3767"/>
      <c r="H32" s="3460" t="s">
        <v>3481</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1" t="s">
        <v>3567</v>
      </c>
      <c r="C34" s="3801"/>
      <c r="D34" s="3801"/>
      <c r="E34" s="3801"/>
      <c r="F34" s="3801"/>
      <c r="G34" s="3493"/>
      <c r="H34" s="3494"/>
      <c r="I34" s="3525"/>
      <c r="J34" s="3465"/>
      <c r="K34" s="3523"/>
      <c r="L34" s="3523"/>
      <c r="M34" s="3525"/>
    </row>
    <row r="35" spans="1:13" s="3527" customFormat="1" ht="18" customHeight="1">
      <c r="A35" s="3525"/>
      <c r="B35" s="3495" t="s">
        <v>3482</v>
      </c>
      <c r="C35" s="3495" t="s">
        <v>3398</v>
      </c>
      <c r="D35" s="3802" t="s">
        <v>3610</v>
      </c>
      <c r="E35" s="3802"/>
      <c r="F35" s="3802"/>
      <c r="G35" s="3493"/>
      <c r="H35" s="3761"/>
      <c r="I35" s="3761"/>
      <c r="J35" s="3486"/>
      <c r="K35" s="3525"/>
      <c r="L35" s="3525"/>
      <c r="M35" s="3525"/>
    </row>
    <row r="36" spans="1:13">
      <c r="B36" s="3495" t="s">
        <v>3483</v>
      </c>
      <c r="C36" s="3531">
        <v>1</v>
      </c>
      <c r="D36" s="3803">
        <f>'租金比较法-住宅 '!C49</f>
        <v>179</v>
      </c>
      <c r="E36" s="3803"/>
      <c r="F36" s="3803"/>
      <c r="G36" s="3493">
        <f>(D36-D37)/D37</f>
        <v>-0.61171366594360088</v>
      </c>
      <c r="H36" s="3534"/>
      <c r="I36" s="3535"/>
      <c r="K36" s="3525"/>
      <c r="L36" s="3525"/>
    </row>
    <row r="37" spans="1:13" ht="12.75" customHeight="1">
      <c r="B37" s="3495" t="s">
        <v>3484</v>
      </c>
      <c r="C37" s="3531">
        <f>1-C36</f>
        <v>0</v>
      </c>
      <c r="D37" s="3803">
        <f>C31</f>
        <v>461</v>
      </c>
      <c r="E37" s="3803"/>
      <c r="F37" s="3803"/>
      <c r="G37" s="3493"/>
      <c r="H37" s="3493"/>
      <c r="I37" s="3493"/>
      <c r="J37" s="3525"/>
      <c r="K37" s="3525"/>
      <c r="L37" s="3525"/>
    </row>
    <row r="38" spans="1:13" ht="22.5" customHeight="1">
      <c r="B38" s="3802" t="s">
        <v>3604</v>
      </c>
      <c r="C38" s="3802"/>
      <c r="D38" s="3804">
        <f>ROUND(C36*D36+C37*D37,1)</f>
        <v>179</v>
      </c>
      <c r="E38" s="3804"/>
      <c r="F38" s="3804"/>
      <c r="G38" s="3806" t="s">
        <v>3568</v>
      </c>
      <c r="H38" s="3761"/>
      <c r="I38" s="3761"/>
      <c r="J38" s="3525"/>
      <c r="K38" s="3525"/>
      <c r="L38" s="3525"/>
    </row>
    <row r="39" spans="1:13" ht="22.5" hidden="1" customHeight="1">
      <c r="B39" s="3495" t="s">
        <v>3485</v>
      </c>
      <c r="C39" s="3495">
        <f>ROUND(D38*0.9,1)</f>
        <v>161.1</v>
      </c>
      <c r="D39" s="3496" t="s">
        <v>3486</v>
      </c>
      <c r="E39" s="3805">
        <f>ROUND(D38*1.1,1)</f>
        <v>196.9</v>
      </c>
      <c r="F39" s="3805"/>
      <c r="G39" s="3493" t="s">
        <v>3487</v>
      </c>
      <c r="H39" s="3497">
        <v>11</v>
      </c>
      <c r="J39" s="3525"/>
      <c r="K39" s="3525"/>
      <c r="L39" s="3525"/>
    </row>
    <row r="40" spans="1:13" ht="18" hidden="1" customHeight="1">
      <c r="B40" s="3495" t="s">
        <v>3488</v>
      </c>
      <c r="C40" s="3495">
        <f>ROUND(C39+H40,1)</f>
        <v>161.30000000000001</v>
      </c>
      <c r="D40" s="3496" t="s">
        <v>3486</v>
      </c>
      <c r="E40" s="3805">
        <f>ROUND(E39+H40,1)</f>
        <v>197.1</v>
      </c>
      <c r="F40" s="3805"/>
      <c r="G40" s="3536" t="s">
        <v>3489</v>
      </c>
      <c r="H40" s="3498">
        <v>0.2</v>
      </c>
      <c r="J40" s="3525"/>
      <c r="K40" s="3525"/>
      <c r="L40" s="3525"/>
    </row>
    <row r="41" spans="1:13" ht="18" customHeight="1">
      <c r="B41" s="3807" t="s">
        <v>3602</v>
      </c>
      <c r="C41" s="3807"/>
      <c r="D41" s="3807">
        <f>ROUND(D38*I3,0)</f>
        <v>10489</v>
      </c>
      <c r="E41" s="3807"/>
      <c r="F41" s="3807"/>
      <c r="G41" s="3493"/>
      <c r="H41" s="3493"/>
      <c r="I41" s="3493"/>
      <c r="J41" s="3525"/>
    </row>
    <row r="42" spans="1:13" ht="18" hidden="1" customHeight="1">
      <c r="B42" s="3939" t="s">
        <v>3490</v>
      </c>
      <c r="C42" s="3940"/>
      <c r="D42" s="3494"/>
      <c r="E42" s="3493" t="s">
        <v>3491</v>
      </c>
      <c r="F42" s="3494"/>
      <c r="G42" s="3493"/>
      <c r="H42" s="3493" t="s">
        <v>3492</v>
      </c>
      <c r="I42" s="3530"/>
      <c r="J42" s="3525"/>
    </row>
    <row r="43" spans="1:13" ht="18" customHeight="1">
      <c r="B43" s="3807" t="s">
        <v>3614</v>
      </c>
      <c r="C43" s="3807"/>
      <c r="D43" s="3807">
        <f>ROUND(D41*(1+G43),0)</f>
        <v>11013</v>
      </c>
      <c r="E43" s="3807"/>
      <c r="F43" s="3807"/>
      <c r="G43" s="3941">
        <v>0.05</v>
      </c>
      <c r="H43" s="3942" t="s">
        <v>3607</v>
      </c>
      <c r="I43" s="3530"/>
      <c r="J43" s="3525"/>
    </row>
    <row r="44" spans="1:13" ht="13.5" customHeight="1">
      <c r="B44" s="3761" t="s">
        <v>3601</v>
      </c>
      <c r="C44" s="3761"/>
      <c r="D44" s="3761">
        <v>9300</v>
      </c>
      <c r="E44" s="3761"/>
      <c r="F44" s="3761"/>
      <c r="H44" s="3548">
        <f>D38+租金案例!N2+租金案例!O2</f>
        <v>182</v>
      </c>
      <c r="I44" s="3530"/>
    </row>
    <row r="45" spans="1:13">
      <c r="B45" s="3943" t="s">
        <v>3603</v>
      </c>
      <c r="C45" s="3943"/>
      <c r="D45" s="3943">
        <v>9500</v>
      </c>
      <c r="E45" s="3943"/>
      <c r="F45" s="3943"/>
      <c r="G45" s="3530">
        <f>D45*(1+G43)</f>
        <v>9975</v>
      </c>
    </row>
    <row r="46" spans="1:13" ht="13.5" customHeight="1">
      <c r="B46" s="3761" t="s">
        <v>3606</v>
      </c>
      <c r="C46" s="3761"/>
      <c r="D46" s="3761">
        <f>D45*24</f>
        <v>228000</v>
      </c>
      <c r="E46" s="3761"/>
      <c r="F46" s="3761"/>
    </row>
    <row r="47" spans="1:13">
      <c r="B47" s="3761" t="s">
        <v>3599</v>
      </c>
      <c r="C47" s="3761"/>
      <c r="D47" s="3761">
        <f>D46*G43</f>
        <v>11400</v>
      </c>
      <c r="E47" s="3761"/>
      <c r="F47" s="3761"/>
    </row>
    <row r="48" spans="1:13">
      <c r="B48" s="3761" t="s">
        <v>3600</v>
      </c>
      <c r="C48" s="3761"/>
      <c r="D48" s="3761">
        <f>D47/24</f>
        <v>475</v>
      </c>
      <c r="E48" s="3761"/>
      <c r="F48" s="3761"/>
    </row>
    <row r="49" spans="2:6" ht="13.5" customHeight="1">
      <c r="B49" s="3761" t="s">
        <v>3609</v>
      </c>
      <c r="C49" s="3761"/>
      <c r="D49" s="3761">
        <f>D45+D48</f>
        <v>9975</v>
      </c>
      <c r="E49" s="3761"/>
      <c r="F49" s="3761"/>
    </row>
    <row r="50" spans="2:6">
      <c r="B50" s="3761" t="s">
        <v>3608</v>
      </c>
      <c r="C50" s="3761"/>
      <c r="D50" s="3761">
        <f>D44+D48</f>
        <v>9775</v>
      </c>
      <c r="E50" s="3761"/>
      <c r="F50" s="3761"/>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7CA6-44A6-433D-B148-1E09BB588555}">
  <dimension ref="A1"/>
  <sheetViews>
    <sheetView workbookViewId="0">
      <selection activeCell="A17" sqref="A1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79E6-692C-4B0B-A4B3-854DE6D330A6}">
  <dimension ref="A1:N3"/>
  <sheetViews>
    <sheetView workbookViewId="0">
      <selection activeCell="I17" sqref="I17"/>
    </sheetView>
  </sheetViews>
  <sheetFormatPr defaultRowHeight="13.5"/>
  <cols>
    <col min="1" max="1" width="12.5" style="3538" customWidth="1"/>
    <col min="2" max="2" width="12.25" style="3538" customWidth="1"/>
    <col min="3" max="3" width="9.5" style="3538" bestFit="1" customWidth="1"/>
    <col min="4" max="4" width="13" style="3538" hidden="1" customWidth="1"/>
    <col min="5" max="5" width="8.5" style="3538" customWidth="1"/>
    <col min="6" max="6" width="10.125" style="3538" customWidth="1"/>
    <col min="7" max="7" width="10.625" style="3538" customWidth="1"/>
    <col min="8" max="8" width="9.25" style="3538" customWidth="1"/>
    <col min="9" max="9" width="9.5" style="3538" customWidth="1"/>
    <col min="10" max="10" width="9" style="3538"/>
    <col min="11" max="11" width="12.125" style="3538" customWidth="1"/>
    <col min="12" max="16384" width="9" style="3538"/>
  </cols>
  <sheetData>
    <row r="1" spans="1:14" s="3541" customFormat="1" ht="30.75" customHeight="1">
      <c r="A1" s="3539" t="s">
        <v>3595</v>
      </c>
      <c r="B1" s="3539" t="s">
        <v>3588</v>
      </c>
      <c r="C1" s="3539" t="s">
        <v>3589</v>
      </c>
      <c r="D1" s="3539" t="s">
        <v>3590</v>
      </c>
      <c r="E1" s="3539" t="s">
        <v>3591</v>
      </c>
      <c r="F1" s="3539" t="s">
        <v>3593</v>
      </c>
      <c r="G1" s="3540" t="s">
        <v>3594</v>
      </c>
      <c r="H1" s="3539" t="s">
        <v>3592</v>
      </c>
      <c r="I1" s="3540" t="s">
        <v>3594</v>
      </c>
      <c r="J1" s="3540" t="s">
        <v>3587</v>
      </c>
      <c r="K1" s="3539" t="s">
        <v>3586</v>
      </c>
    </row>
    <row r="2" spans="1:14" s="3541" customFormat="1" ht="27">
      <c r="A2" s="3539" t="s">
        <v>3596</v>
      </c>
      <c r="B2" s="3542">
        <v>44822</v>
      </c>
      <c r="C2" s="3542">
        <v>44963</v>
      </c>
      <c r="D2" s="3541">
        <f>C2-B2</f>
        <v>141</v>
      </c>
      <c r="E2" s="3541">
        <f>D2/30</f>
        <v>4.7</v>
      </c>
      <c r="F2" s="3541">
        <f>E2*9500</f>
        <v>44650</v>
      </c>
      <c r="G2" s="3540">
        <f>ROUND(F2/24,0)</f>
        <v>1860</v>
      </c>
      <c r="H2" s="3541">
        <f>1483+550</f>
        <v>2033</v>
      </c>
      <c r="I2" s="3540">
        <f>ROUNDDOWN(H2/24,0)</f>
        <v>84</v>
      </c>
      <c r="J2" s="3540">
        <v>500</v>
      </c>
      <c r="K2" s="3541">
        <f>I2+J2</f>
        <v>584</v>
      </c>
      <c r="L2" s="3541">
        <v>9000</v>
      </c>
      <c r="M2" s="3541">
        <f>K2+L2</f>
        <v>9584</v>
      </c>
      <c r="N2" s="3541">
        <f>收益法倒推!D41</f>
        <v>10489</v>
      </c>
    </row>
    <row r="3" spans="1:14" s="3541" customFormat="1" ht="40.5">
      <c r="A3" s="3539" t="s">
        <v>3597</v>
      </c>
      <c r="B3" s="3542">
        <v>44810</v>
      </c>
      <c r="C3" s="3542">
        <v>44963</v>
      </c>
      <c r="D3" s="3541">
        <f>C3-B3</f>
        <v>153</v>
      </c>
      <c r="E3" s="3541">
        <f>D3/30</f>
        <v>5.0999999999999996</v>
      </c>
      <c r="F3" s="3541">
        <f>E3*9500</f>
        <v>48450</v>
      </c>
      <c r="G3" s="3540">
        <f>ROUND(F3/24,0)</f>
        <v>2019</v>
      </c>
      <c r="H3" s="3541">
        <v>0</v>
      </c>
      <c r="I3" s="3540">
        <v>0</v>
      </c>
      <c r="J3" s="3540">
        <v>500</v>
      </c>
      <c r="K3" s="3541">
        <f>I3+J3</f>
        <v>500</v>
      </c>
      <c r="L3" s="3541">
        <v>9000</v>
      </c>
      <c r="M3" s="3541">
        <f>K3+L3</f>
        <v>9500</v>
      </c>
      <c r="N3" s="3541">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6" zoomScale="80" zoomScaleNormal="60" zoomScaleSheetLayoutView="80" workbookViewId="0">
      <selection activeCell="H17" sqref="H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3"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748.99</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127814</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1" t="s">
        <v>1662</v>
      </c>
      <c r="D4" s="3812"/>
      <c r="E4" s="3813" t="s">
        <v>1663</v>
      </c>
      <c r="F4" s="3814"/>
      <c r="G4" s="3811" t="s">
        <v>1664</v>
      </c>
      <c r="H4" s="3812"/>
      <c r="I4" s="3811" t="s">
        <v>1665</v>
      </c>
      <c r="J4" s="3812"/>
      <c r="K4" s="1889" t="s">
        <v>1666</v>
      </c>
      <c r="L4" s="2712"/>
      <c r="M4" s="2713"/>
      <c r="N4" s="2713"/>
      <c r="O4" s="2713"/>
      <c r="P4" s="3815" t="s">
        <v>1667</v>
      </c>
      <c r="Q4" s="3816"/>
      <c r="R4" s="3821" t="s">
        <v>1663</v>
      </c>
      <c r="S4" s="3822"/>
      <c r="T4" s="3821" t="s">
        <v>1664</v>
      </c>
      <c r="U4" s="3822"/>
      <c r="V4" s="3836" t="s">
        <v>1665</v>
      </c>
      <c r="W4" s="3836"/>
      <c r="X4" s="3451"/>
      <c r="Y4" s="3821" t="s">
        <v>1667</v>
      </c>
      <c r="Z4" s="3822"/>
      <c r="AA4" s="3808" t="s">
        <v>1663</v>
      </c>
      <c r="AB4" s="3808" t="s">
        <v>1664</v>
      </c>
      <c r="AC4" s="3808" t="s">
        <v>1665</v>
      </c>
    </row>
    <row r="5" spans="1:29" ht="15.75" thickBot="1">
      <c r="A5" s="358"/>
      <c r="B5" s="359"/>
      <c r="C5" s="3825" t="s">
        <v>3502</v>
      </c>
      <c r="D5" s="3826"/>
      <c r="E5" s="3827" t="str">
        <f>C5</f>
        <v>双榆树西里</v>
      </c>
      <c r="F5" s="3828"/>
      <c r="G5" s="3829" t="str">
        <f>C5</f>
        <v>双榆树西里</v>
      </c>
      <c r="H5" s="3826"/>
      <c r="I5" s="3829" t="str">
        <f>C5</f>
        <v>双榆树西里</v>
      </c>
      <c r="J5" s="3826"/>
      <c r="K5" s="1890"/>
      <c r="L5" s="2712"/>
      <c r="M5" s="2713"/>
      <c r="N5" s="2713"/>
      <c r="O5" s="2713"/>
      <c r="P5" s="3817"/>
      <c r="Q5" s="3818"/>
      <c r="R5" s="3823"/>
      <c r="S5" s="3824"/>
      <c r="T5" s="3823"/>
      <c r="U5" s="3824"/>
      <c r="V5" s="3836"/>
      <c r="W5" s="3836"/>
      <c r="X5" s="3451"/>
      <c r="Y5" s="3823"/>
      <c r="Z5" s="3824"/>
      <c r="AA5" s="3809"/>
      <c r="AB5" s="3809"/>
      <c r="AC5" s="3809"/>
    </row>
    <row r="6" spans="1:29" ht="15.75" hidden="1" thickBot="1">
      <c r="A6" s="360"/>
      <c r="B6" s="361"/>
      <c r="C6" s="3830" t="s">
        <v>1672</v>
      </c>
      <c r="D6" s="3831"/>
      <c r="E6" s="3832" t="s">
        <v>1672</v>
      </c>
      <c r="F6" s="3833"/>
      <c r="G6" s="3830" t="s">
        <v>1672</v>
      </c>
      <c r="H6" s="3831"/>
      <c r="I6" s="3830" t="s">
        <v>1672</v>
      </c>
      <c r="J6" s="3831"/>
      <c r="K6" s="1890" t="s">
        <v>1673</v>
      </c>
      <c r="L6" s="2712"/>
      <c r="M6" s="2713"/>
      <c r="N6" s="2713"/>
      <c r="O6" s="2713"/>
      <c r="P6" s="3819"/>
      <c r="Q6" s="3820"/>
      <c r="R6" s="3823"/>
      <c r="S6" s="3824"/>
      <c r="T6" s="3834"/>
      <c r="U6" s="3835"/>
      <c r="V6" s="3836"/>
      <c r="W6" s="3836"/>
      <c r="X6" s="3451"/>
      <c r="Y6" s="3834"/>
      <c r="Z6" s="3835"/>
      <c r="AA6" s="3810"/>
      <c r="AB6" s="3810"/>
      <c r="AC6" s="3810"/>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37" t="s">
        <v>1675</v>
      </c>
      <c r="Q7" s="3838"/>
      <c r="R7" s="701" t="s">
        <v>14</v>
      </c>
      <c r="S7" s="702">
        <f t="shared" ref="S7:S15" si="0">F7</f>
        <v>100</v>
      </c>
      <c r="T7" s="701" t="s">
        <v>14</v>
      </c>
      <c r="U7" s="702">
        <f t="shared" ref="U7:U15" si="1">H7</f>
        <v>100</v>
      </c>
      <c r="V7" s="701" t="s">
        <v>14</v>
      </c>
      <c r="W7" s="702">
        <f t="shared" ref="W7:W15" si="2">J7</f>
        <v>100</v>
      </c>
      <c r="X7" s="703"/>
      <c r="Y7" s="3837" t="s">
        <v>1675</v>
      </c>
      <c r="Z7" s="383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40"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3508</v>
      </c>
      <c r="D10" s="127">
        <v>100</v>
      </c>
      <c r="E10" s="3504" t="s">
        <v>3508</v>
      </c>
      <c r="F10" s="376">
        <f>SUMIF(65:65,E10,66:66)-SUMIF(65:65,C10,66:66)+100</f>
        <v>100</v>
      </c>
      <c r="G10" s="3504" t="s">
        <v>3508</v>
      </c>
      <c r="H10" s="127">
        <f>SUMIF(65:65,G10,66:66)-SUMIF(65:65,C10,66:66)+100</f>
        <v>100</v>
      </c>
      <c r="I10" s="3504" t="s">
        <v>3508</v>
      </c>
      <c r="J10" s="127">
        <f>SUMIF(65:65,I10,66:66)-SUMIF(65:65,C10,66:66)+100</f>
        <v>100</v>
      </c>
      <c r="K10" s="1891"/>
      <c r="L10" s="2716"/>
      <c r="M10" s="2717"/>
      <c r="N10" s="2717"/>
      <c r="O10" s="2717"/>
      <c r="P10" s="3840"/>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0"/>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0"/>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0"/>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0"/>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9" t="str">
        <f t="shared" si="6"/>
        <v>居住社区成熟度</v>
      </c>
      <c r="R15" s="705" t="s">
        <v>14</v>
      </c>
      <c r="S15" s="706">
        <f t="shared" si="0"/>
        <v>100</v>
      </c>
      <c r="T15" s="705" t="s">
        <v>14</v>
      </c>
      <c r="U15" s="706">
        <f t="shared" si="1"/>
        <v>100</v>
      </c>
      <c r="V15" s="705" t="s">
        <v>14</v>
      </c>
      <c r="W15" s="706">
        <f t="shared" si="2"/>
        <v>100</v>
      </c>
      <c r="X15" s="3451"/>
      <c r="Y15" s="3843" t="s">
        <v>1686</v>
      </c>
      <c r="Z15" s="3452" t="str">
        <f t="shared" si="7"/>
        <v>居住社区成熟度</v>
      </c>
      <c r="AA15" s="3450">
        <f t="shared" si="3"/>
        <v>1</v>
      </c>
      <c r="AB15" s="3450">
        <f t="shared" si="4"/>
        <v>1</v>
      </c>
      <c r="AC15" s="3450">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42"/>
      <c r="Q16" s="3449"/>
      <c r="R16" s="705"/>
      <c r="S16" s="706"/>
      <c r="T16" s="705"/>
      <c r="U16" s="706"/>
      <c r="V16" s="705"/>
      <c r="W16" s="706"/>
      <c r="X16" s="3451"/>
      <c r="Y16" s="3844"/>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9" t="str">
        <f>B17</f>
        <v>交通便捷度</v>
      </c>
      <c r="R17" s="705" t="s">
        <v>14</v>
      </c>
      <c r="S17" s="706">
        <f>F17</f>
        <v>100</v>
      </c>
      <c r="T17" s="705" t="s">
        <v>14</v>
      </c>
      <c r="U17" s="706">
        <f>H17</f>
        <v>100</v>
      </c>
      <c r="V17" s="705" t="s">
        <v>14</v>
      </c>
      <c r="W17" s="706">
        <f>J17</f>
        <v>100</v>
      </c>
      <c r="X17" s="3451"/>
      <c r="Y17" s="3844"/>
      <c r="Z17" s="3452" t="str">
        <f>Q17</f>
        <v>交通便捷度</v>
      </c>
      <c r="AA17" s="3450">
        <f t="shared" si="3"/>
        <v>1</v>
      </c>
      <c r="AB17" s="3450">
        <f t="shared" si="4"/>
        <v>1</v>
      </c>
      <c r="AC17" s="3450">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42"/>
      <c r="Q18" s="3449"/>
      <c r="R18" s="705"/>
      <c r="S18" s="706"/>
      <c r="T18" s="705"/>
      <c r="U18" s="706"/>
      <c r="V18" s="705"/>
      <c r="W18" s="706"/>
      <c r="X18" s="3451"/>
      <c r="Y18" s="3844"/>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9" t="str">
        <f>B19</f>
        <v>公共配套设施</v>
      </c>
      <c r="R19" s="705" t="s">
        <v>14</v>
      </c>
      <c r="S19" s="706">
        <f>F19</f>
        <v>100</v>
      </c>
      <c r="T19" s="705" t="s">
        <v>14</v>
      </c>
      <c r="U19" s="706">
        <f>H19</f>
        <v>100</v>
      </c>
      <c r="V19" s="705" t="s">
        <v>14</v>
      </c>
      <c r="W19" s="706">
        <f>J19</f>
        <v>100</v>
      </c>
      <c r="X19" s="3451"/>
      <c r="Y19" s="3844"/>
      <c r="Z19" s="3452" t="str">
        <f>Q19</f>
        <v>公共配套设施</v>
      </c>
      <c r="AA19" s="3450">
        <f t="shared" si="3"/>
        <v>1</v>
      </c>
      <c r="AB19" s="3450">
        <f t="shared" si="4"/>
        <v>1</v>
      </c>
      <c r="AC19" s="3450">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42"/>
      <c r="Q20" s="3449"/>
      <c r="R20" s="705"/>
      <c r="S20" s="706"/>
      <c r="T20" s="705"/>
      <c r="U20" s="706"/>
      <c r="V20" s="705"/>
      <c r="W20" s="706"/>
      <c r="X20" s="3451"/>
      <c r="Y20" s="3844"/>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9" t="str">
        <f>B21</f>
        <v>基础设施水平</v>
      </c>
      <c r="R21" s="705" t="s">
        <v>14</v>
      </c>
      <c r="S21" s="706">
        <f>F21</f>
        <v>100</v>
      </c>
      <c r="T21" s="705" t="s">
        <v>14</v>
      </c>
      <c r="U21" s="706">
        <f>H21</f>
        <v>100</v>
      </c>
      <c r="V21" s="705" t="s">
        <v>14</v>
      </c>
      <c r="W21" s="706">
        <f>J21</f>
        <v>100</v>
      </c>
      <c r="X21" s="3451"/>
      <c r="Y21" s="3844"/>
      <c r="Z21" s="3452" t="str">
        <f>Q21</f>
        <v>基础设施水平</v>
      </c>
      <c r="AA21" s="3450">
        <f t="shared" ref="AA21" si="8">D21/F21</f>
        <v>1</v>
      </c>
      <c r="AB21" s="3450">
        <f t="shared" ref="AB21" si="9">D21/H21</f>
        <v>1</v>
      </c>
      <c r="AC21" s="3450">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42"/>
      <c r="Q22" s="3449"/>
      <c r="R22" s="705"/>
      <c r="S22" s="706"/>
      <c r="T22" s="705"/>
      <c r="U22" s="706"/>
      <c r="V22" s="705"/>
      <c r="W22" s="706"/>
      <c r="X22" s="3451"/>
      <c r="Y22" s="3844"/>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9" t="str">
        <f>B23</f>
        <v>自然及人文环境</v>
      </c>
      <c r="R23" s="705" t="s">
        <v>14</v>
      </c>
      <c r="S23" s="706">
        <f>F23</f>
        <v>100</v>
      </c>
      <c r="T23" s="705" t="s">
        <v>14</v>
      </c>
      <c r="U23" s="706">
        <f>H23</f>
        <v>100</v>
      </c>
      <c r="V23" s="705" t="s">
        <v>14</v>
      </c>
      <c r="W23" s="706">
        <f>J23</f>
        <v>100</v>
      </c>
      <c r="X23" s="3451"/>
      <c r="Y23" s="3844"/>
      <c r="Z23" s="3452" t="str">
        <f>Q23</f>
        <v>自然及人文环境</v>
      </c>
      <c r="AA23" s="3450">
        <f>D23/F23</f>
        <v>1</v>
      </c>
      <c r="AB23" s="3450">
        <f>D23/H23</f>
        <v>1</v>
      </c>
      <c r="AC23" s="3450">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42"/>
      <c r="Q24" s="3449"/>
      <c r="R24" s="705"/>
      <c r="S24" s="706"/>
      <c r="T24" s="705"/>
      <c r="U24" s="706"/>
      <c r="V24" s="705"/>
      <c r="W24" s="706"/>
      <c r="X24" s="3451"/>
      <c r="Y24" s="3844"/>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4"/>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3523</v>
      </c>
      <c r="D26" s="386">
        <v>100</v>
      </c>
      <c r="E26" s="1906" t="s">
        <v>3531</v>
      </c>
      <c r="F26" s="386">
        <f>SUMIF(88:88,E26,89:89)-SUMIF(88:88,C26,89:89)+100</f>
        <v>99</v>
      </c>
      <c r="G26" s="1907" t="s">
        <v>3530</v>
      </c>
      <c r="H26" s="386">
        <f>SUMIF(88:88,G26,89:89)-SUMIF(88:88,C26,89:89)+100</f>
        <v>99.5</v>
      </c>
      <c r="I26" s="1907" t="s">
        <v>3530</v>
      </c>
      <c r="J26" s="386">
        <f>SUMIF(88:88,I26,89:89)-SUMIF(88:88,C26,89:89)+100</f>
        <v>99.5</v>
      </c>
      <c r="K26" s="377">
        <v>0.5</v>
      </c>
      <c r="L26" s="2719"/>
      <c r="M26" s="2713"/>
      <c r="N26" s="2713"/>
      <c r="O26" s="2713"/>
      <c r="P26" s="3842"/>
      <c r="Q26" s="3449" t="str">
        <f t="shared" si="11"/>
        <v>朝向</v>
      </c>
      <c r="R26" s="705" t="s">
        <v>14</v>
      </c>
      <c r="S26" s="706">
        <f t="shared" si="12"/>
        <v>99</v>
      </c>
      <c r="T26" s="705" t="s">
        <v>14</v>
      </c>
      <c r="U26" s="706">
        <f t="shared" si="13"/>
        <v>99.5</v>
      </c>
      <c r="V26" s="705" t="s">
        <v>14</v>
      </c>
      <c r="W26" s="706">
        <f t="shared" si="14"/>
        <v>99.5</v>
      </c>
      <c r="X26" s="3451"/>
      <c r="Y26" s="3844"/>
      <c r="Z26" s="3452" t="str">
        <f>Q26</f>
        <v>朝向</v>
      </c>
      <c r="AA26" s="3450">
        <f t="shared" si="15"/>
        <v>1.0101010101010102</v>
      </c>
      <c r="AB26" s="3450">
        <f t="shared" si="16"/>
        <v>1.0050251256281406</v>
      </c>
      <c r="AC26" s="3450">
        <f t="shared" si="17"/>
        <v>1.0050251256281406</v>
      </c>
    </row>
    <row r="27" spans="1:29" s="108" customFormat="1" ht="15.75" thickBot="1">
      <c r="A27" s="382"/>
      <c r="B27" s="3503" t="s">
        <v>3512</v>
      </c>
      <c r="C27" s="3518" t="s">
        <v>3532</v>
      </c>
      <c r="D27" s="413">
        <v>100</v>
      </c>
      <c r="E27" s="3518" t="s">
        <v>3532</v>
      </c>
      <c r="F27" s="413">
        <f>SUMIF(90:90,E27,91:91)-SUMIF(90:90,C27,91:91)+100</f>
        <v>100</v>
      </c>
      <c r="G27" s="3519" t="s">
        <v>3533</v>
      </c>
      <c r="H27" s="413">
        <f>SUMIF(90:90,G27,91:91)-SUMIF(90:90,C27,91:91)+100</f>
        <v>98</v>
      </c>
      <c r="I27" s="3519" t="s">
        <v>3533</v>
      </c>
      <c r="J27" s="413">
        <f>SUMIF(90:90,I27,91:91)-SUMIF(90:90,C27,91:91)+100</f>
        <v>98</v>
      </c>
      <c r="K27" s="1894"/>
      <c r="L27" s="2714"/>
      <c r="M27" s="2715"/>
      <c r="N27" s="2715"/>
      <c r="O27" s="2715"/>
      <c r="P27" s="3842"/>
      <c r="Q27" s="3448" t="str">
        <f t="shared" si="11"/>
        <v>楼层</v>
      </c>
      <c r="R27" s="701" t="s">
        <v>14</v>
      </c>
      <c r="S27" s="702">
        <f t="shared" si="12"/>
        <v>100</v>
      </c>
      <c r="T27" s="701" t="s">
        <v>14</v>
      </c>
      <c r="U27" s="702">
        <f t="shared" si="13"/>
        <v>98</v>
      </c>
      <c r="V27" s="701" t="s">
        <v>14</v>
      </c>
      <c r="W27" s="702">
        <f t="shared" si="14"/>
        <v>98</v>
      </c>
      <c r="X27" s="703"/>
      <c r="Y27" s="3844"/>
      <c r="Z27" s="3447" t="str">
        <f>Q27</f>
        <v>楼层</v>
      </c>
      <c r="AA27" s="3450">
        <f t="shared" si="15"/>
        <v>1</v>
      </c>
      <c r="AB27" s="3450">
        <f t="shared" si="16"/>
        <v>1.0204081632653061</v>
      </c>
      <c r="AC27" s="3450">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9">
        <f t="shared" si="11"/>
        <v>111</v>
      </c>
      <c r="R28" s="705" t="s">
        <v>14</v>
      </c>
      <c r="S28" s="706">
        <f t="shared" si="12"/>
        <v>100</v>
      </c>
      <c r="T28" s="705" t="s">
        <v>14</v>
      </c>
      <c r="U28" s="706">
        <f t="shared" si="13"/>
        <v>100</v>
      </c>
      <c r="V28" s="705" t="s">
        <v>14</v>
      </c>
      <c r="W28" s="706">
        <f t="shared" si="14"/>
        <v>100</v>
      </c>
      <c r="X28" s="3451"/>
      <c r="Y28" s="3844"/>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9">
        <f t="shared" si="11"/>
        <v>111</v>
      </c>
      <c r="R29" s="705" t="s">
        <v>14</v>
      </c>
      <c r="S29" s="706">
        <f t="shared" si="12"/>
        <v>100</v>
      </c>
      <c r="T29" s="705" t="s">
        <v>14</v>
      </c>
      <c r="U29" s="706">
        <f t="shared" si="13"/>
        <v>100</v>
      </c>
      <c r="V29" s="705" t="s">
        <v>14</v>
      </c>
      <c r="W29" s="706">
        <f t="shared" si="14"/>
        <v>100</v>
      </c>
      <c r="X29" s="3451"/>
      <c r="Y29" s="3844"/>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9">
        <f t="shared" si="11"/>
        <v>111</v>
      </c>
      <c r="R30" s="705" t="s">
        <v>14</v>
      </c>
      <c r="S30" s="706">
        <f t="shared" si="12"/>
        <v>100</v>
      </c>
      <c r="T30" s="705" t="s">
        <v>14</v>
      </c>
      <c r="U30" s="706">
        <f t="shared" si="13"/>
        <v>100</v>
      </c>
      <c r="V30" s="705" t="s">
        <v>14</v>
      </c>
      <c r="W30" s="706">
        <f t="shared" si="14"/>
        <v>100</v>
      </c>
      <c r="X30" s="3451"/>
      <c r="Y30" s="3844"/>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9">
        <f t="shared" si="11"/>
        <v>111</v>
      </c>
      <c r="R31" s="705" t="s">
        <v>14</v>
      </c>
      <c r="S31" s="706">
        <f t="shared" si="12"/>
        <v>100</v>
      </c>
      <c r="T31" s="705" t="s">
        <v>14</v>
      </c>
      <c r="U31" s="706">
        <f t="shared" si="13"/>
        <v>100</v>
      </c>
      <c r="V31" s="705" t="s">
        <v>14</v>
      </c>
      <c r="W31" s="706">
        <f t="shared" si="14"/>
        <v>100</v>
      </c>
      <c r="X31" s="3451"/>
      <c r="Y31" s="3844"/>
      <c r="Z31" s="3452">
        <f t="shared" si="18"/>
        <v>111</v>
      </c>
      <c r="AA31" s="3450">
        <f t="shared" si="15"/>
        <v>1</v>
      </c>
      <c r="AB31" s="3450">
        <f t="shared" si="16"/>
        <v>1</v>
      </c>
      <c r="AC31" s="3450">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45" t="s">
        <v>1691</v>
      </c>
      <c r="Q32" s="3449" t="str">
        <f t="shared" si="11"/>
        <v>建筑类型</v>
      </c>
      <c r="R32" s="705" t="s">
        <v>14</v>
      </c>
      <c r="S32" s="706">
        <f t="shared" si="12"/>
        <v>100</v>
      </c>
      <c r="T32" s="705" t="s">
        <v>14</v>
      </c>
      <c r="U32" s="706">
        <f t="shared" si="13"/>
        <v>100</v>
      </c>
      <c r="V32" s="705" t="s">
        <v>14</v>
      </c>
      <c r="W32" s="706">
        <f t="shared" si="14"/>
        <v>100</v>
      </c>
      <c r="X32" s="3451"/>
      <c r="Y32" s="3848"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46"/>
      <c r="Q33" s="707" t="str">
        <f t="shared" si="11"/>
        <v>项目建筑规模</v>
      </c>
      <c r="R33" s="708" t="s">
        <v>14</v>
      </c>
      <c r="S33" s="709">
        <f t="shared" si="12"/>
        <v>100</v>
      </c>
      <c r="T33" s="708" t="s">
        <v>14</v>
      </c>
      <c r="U33" s="709">
        <f t="shared" si="13"/>
        <v>100</v>
      </c>
      <c r="V33" s="708" t="s">
        <v>14</v>
      </c>
      <c r="W33" s="709">
        <f t="shared" si="14"/>
        <v>100</v>
      </c>
      <c r="X33" s="710"/>
      <c r="Y33" s="3848"/>
      <c r="Z33" s="711" t="str">
        <f t="shared" si="18"/>
        <v>项目建筑规模</v>
      </c>
      <c r="AA33" s="3450">
        <f t="shared" si="15"/>
        <v>1</v>
      </c>
      <c r="AB33" s="3450">
        <f t="shared" si="16"/>
        <v>1</v>
      </c>
      <c r="AC33" s="3450">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46"/>
      <c r="Q34" s="3449" t="str">
        <f t="shared" si="11"/>
        <v>建筑结构</v>
      </c>
      <c r="R34" s="705" t="s">
        <v>14</v>
      </c>
      <c r="S34" s="706">
        <f t="shared" si="12"/>
        <v>100</v>
      </c>
      <c r="T34" s="705" t="s">
        <v>14</v>
      </c>
      <c r="U34" s="706">
        <f t="shared" si="13"/>
        <v>100</v>
      </c>
      <c r="V34" s="705" t="s">
        <v>14</v>
      </c>
      <c r="W34" s="706">
        <f t="shared" si="14"/>
        <v>100</v>
      </c>
      <c r="X34" s="3451"/>
      <c r="Y34" s="3848"/>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9" t="str">
        <f t="shared" si="11"/>
        <v>建筑品质</v>
      </c>
      <c r="R35" s="705" t="s">
        <v>14</v>
      </c>
      <c r="S35" s="706">
        <f t="shared" si="12"/>
        <v>100</v>
      </c>
      <c r="T35" s="705" t="s">
        <v>14</v>
      </c>
      <c r="U35" s="706">
        <f t="shared" si="13"/>
        <v>100</v>
      </c>
      <c r="V35" s="705" t="s">
        <v>14</v>
      </c>
      <c r="W35" s="706">
        <f t="shared" si="14"/>
        <v>100</v>
      </c>
      <c r="X35" s="3451"/>
      <c r="Y35" s="3848"/>
      <c r="Z35" s="3452" t="str">
        <f t="shared" si="18"/>
        <v>建筑品质</v>
      </c>
      <c r="AA35" s="3450">
        <f t="shared" si="15"/>
        <v>1</v>
      </c>
      <c r="AB35" s="3450">
        <f t="shared" si="16"/>
        <v>1</v>
      </c>
      <c r="AC35" s="3450">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46"/>
      <c r="Q36" s="3449" t="str">
        <f t="shared" si="11"/>
        <v>公共部分装修</v>
      </c>
      <c r="R36" s="705" t="s">
        <v>14</v>
      </c>
      <c r="S36" s="706">
        <f t="shared" si="12"/>
        <v>100</v>
      </c>
      <c r="T36" s="705" t="s">
        <v>14</v>
      </c>
      <c r="U36" s="706">
        <f t="shared" si="13"/>
        <v>100</v>
      </c>
      <c r="V36" s="705" t="s">
        <v>14</v>
      </c>
      <c r="W36" s="706">
        <f t="shared" si="14"/>
        <v>100</v>
      </c>
      <c r="X36" s="3451"/>
      <c r="Y36" s="3848"/>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8" t="str">
        <f t="shared" si="11"/>
        <v>成新度</v>
      </c>
      <c r="R37" s="701" t="s">
        <v>14</v>
      </c>
      <c r="S37" s="702">
        <f t="shared" si="12"/>
        <v>100</v>
      </c>
      <c r="T37" s="701" t="s">
        <v>14</v>
      </c>
      <c r="U37" s="702">
        <f t="shared" si="13"/>
        <v>100</v>
      </c>
      <c r="V37" s="701" t="s">
        <v>14</v>
      </c>
      <c r="W37" s="702">
        <f t="shared" si="14"/>
        <v>100</v>
      </c>
      <c r="X37" s="703"/>
      <c r="Y37" s="3848"/>
      <c r="Z37" s="3447"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46" t="s">
        <v>1691</v>
      </c>
      <c r="Q38" s="3449" t="str">
        <f t="shared" si="11"/>
        <v>物业管理</v>
      </c>
      <c r="R38" s="705" t="s">
        <v>14</v>
      </c>
      <c r="S38" s="706">
        <f t="shared" si="12"/>
        <v>100</v>
      </c>
      <c r="T38" s="705" t="s">
        <v>14</v>
      </c>
      <c r="U38" s="706">
        <f t="shared" si="13"/>
        <v>100</v>
      </c>
      <c r="V38" s="705" t="s">
        <v>14</v>
      </c>
      <c r="W38" s="706">
        <f t="shared" si="14"/>
        <v>100</v>
      </c>
      <c r="X38" s="3451"/>
      <c r="Y38" s="3848" t="s">
        <v>1691</v>
      </c>
      <c r="Z38" s="3452" t="str">
        <f t="shared" si="18"/>
        <v>物业管理</v>
      </c>
      <c r="AA38" s="3450">
        <f t="shared" si="15"/>
        <v>1</v>
      </c>
      <c r="AB38" s="3450">
        <f t="shared" si="16"/>
        <v>1</v>
      </c>
      <c r="AC38" s="3450">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46"/>
      <c r="Q39" s="3449" t="str">
        <f t="shared" si="11"/>
        <v>市政基础设施</v>
      </c>
      <c r="R39" s="705" t="s">
        <v>14</v>
      </c>
      <c r="S39" s="706">
        <f t="shared" si="12"/>
        <v>100</v>
      </c>
      <c r="T39" s="705" t="s">
        <v>14</v>
      </c>
      <c r="U39" s="706">
        <f t="shared" si="13"/>
        <v>100</v>
      </c>
      <c r="V39" s="705" t="s">
        <v>14</v>
      </c>
      <c r="W39" s="706">
        <f t="shared" si="14"/>
        <v>100</v>
      </c>
      <c r="X39" s="3451"/>
      <c r="Y39" s="3848"/>
      <c r="Z39" s="3452" t="str">
        <f t="shared" si="18"/>
        <v>市政基础设施</v>
      </c>
      <c r="AA39" s="3450">
        <f t="shared" si="15"/>
        <v>1</v>
      </c>
      <c r="AB39" s="3450">
        <f t="shared" si="16"/>
        <v>1</v>
      </c>
      <c r="AC39" s="3450">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46"/>
      <c r="Q40" s="3449" t="str">
        <f t="shared" si="11"/>
        <v>房型</v>
      </c>
      <c r="R40" s="705" t="s">
        <v>14</v>
      </c>
      <c r="S40" s="706">
        <f t="shared" si="12"/>
        <v>100</v>
      </c>
      <c r="T40" s="705" t="s">
        <v>14</v>
      </c>
      <c r="U40" s="706">
        <f t="shared" si="13"/>
        <v>100</v>
      </c>
      <c r="V40" s="705" t="s">
        <v>14</v>
      </c>
      <c r="W40" s="706">
        <f t="shared" si="14"/>
        <v>100</v>
      </c>
      <c r="X40" s="3451"/>
      <c r="Y40" s="3848"/>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3546</v>
      </c>
      <c r="F42" s="412">
        <f>SUMIF(122:122,E42,123:123)-SUMIF(122:122,C42,123:123)+100</f>
        <v>98</v>
      </c>
      <c r="G42" s="1906" t="s">
        <v>3546</v>
      </c>
      <c r="H42" s="386">
        <f>SUMIF(122:122,G42,123:123)-SUMIF(122:122,C42,123:123)+100</f>
        <v>98</v>
      </c>
      <c r="I42" s="1906" t="s">
        <v>3546</v>
      </c>
      <c r="J42" s="386">
        <f>SUMIF(122:122,I42,123:123)-SUMIF(122:122,C42,123:123)+100</f>
        <v>98</v>
      </c>
      <c r="K42" s="377">
        <v>2</v>
      </c>
      <c r="L42" s="2719"/>
      <c r="M42" s="2713"/>
      <c r="N42" s="2713"/>
      <c r="O42" s="2713"/>
      <c r="P42" s="3846"/>
      <c r="Q42" s="3449" t="str">
        <f t="shared" si="11"/>
        <v>内部装修</v>
      </c>
      <c r="R42" s="705" t="s">
        <v>14</v>
      </c>
      <c r="S42" s="706">
        <f t="shared" si="12"/>
        <v>98</v>
      </c>
      <c r="T42" s="705" t="s">
        <v>14</v>
      </c>
      <c r="U42" s="706">
        <f t="shared" si="13"/>
        <v>98</v>
      </c>
      <c r="V42" s="705" t="s">
        <v>14</v>
      </c>
      <c r="W42" s="706">
        <f t="shared" si="14"/>
        <v>98</v>
      </c>
      <c r="X42" s="3451"/>
      <c r="Y42" s="3848"/>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46"/>
      <c r="Q43" s="3449" t="str">
        <f t="shared" si="11"/>
        <v>内部装修维护情况</v>
      </c>
      <c r="R43" s="705" t="s">
        <v>14</v>
      </c>
      <c r="S43" s="706">
        <f t="shared" si="12"/>
        <v>100</v>
      </c>
      <c r="T43" s="705" t="s">
        <v>14</v>
      </c>
      <c r="U43" s="706">
        <f t="shared" si="13"/>
        <v>100</v>
      </c>
      <c r="V43" s="705" t="s">
        <v>14</v>
      </c>
      <c r="W43" s="706">
        <f t="shared" si="14"/>
        <v>100</v>
      </c>
      <c r="X43" s="3451"/>
      <c r="Y43" s="3848"/>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6"/>
      <c r="Q44" s="3448">
        <f t="shared" si="11"/>
        <v>111</v>
      </c>
      <c r="R44" s="701" t="s">
        <v>14</v>
      </c>
      <c r="S44" s="702">
        <f t="shared" si="12"/>
        <v>100</v>
      </c>
      <c r="T44" s="701" t="s">
        <v>14</v>
      </c>
      <c r="U44" s="702">
        <f t="shared" si="13"/>
        <v>100</v>
      </c>
      <c r="V44" s="701" t="s">
        <v>14</v>
      </c>
      <c r="W44" s="702">
        <f t="shared" si="14"/>
        <v>100</v>
      </c>
      <c r="X44" s="703"/>
      <c r="Y44" s="3848"/>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9">
        <f t="shared" si="11"/>
        <v>111</v>
      </c>
      <c r="R45" s="705" t="s">
        <v>14</v>
      </c>
      <c r="S45" s="706">
        <f t="shared" si="12"/>
        <v>100</v>
      </c>
      <c r="T45" s="705" t="s">
        <v>14</v>
      </c>
      <c r="U45" s="706">
        <f t="shared" si="13"/>
        <v>100</v>
      </c>
      <c r="V45" s="705" t="s">
        <v>14</v>
      </c>
      <c r="W45" s="706">
        <f t="shared" si="14"/>
        <v>100</v>
      </c>
      <c r="X45" s="3451"/>
      <c r="Y45" s="3848"/>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9">
        <f t="shared" si="11"/>
        <v>111</v>
      </c>
      <c r="R46" s="705" t="s">
        <v>14</v>
      </c>
      <c r="S46" s="706">
        <f t="shared" si="12"/>
        <v>100</v>
      </c>
      <c r="T46" s="705" t="s">
        <v>14</v>
      </c>
      <c r="U46" s="706">
        <f t="shared" si="13"/>
        <v>100</v>
      </c>
      <c r="V46" s="705" t="s">
        <v>14</v>
      </c>
      <c r="W46" s="706">
        <f t="shared" si="14"/>
        <v>100</v>
      </c>
      <c r="X46" s="3451"/>
      <c r="Y46" s="3849"/>
      <c r="Z46" s="3452">
        <f t="shared" si="18"/>
        <v>111</v>
      </c>
      <c r="AA46" s="3450">
        <f t="shared" si="15"/>
        <v>1</v>
      </c>
      <c r="AB46" s="3450">
        <f t="shared" si="16"/>
        <v>1</v>
      </c>
      <c r="AC46" s="3450">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50" t="str">
        <f>A47</f>
        <v>成交单价（元/平方米）</v>
      </c>
      <c r="Q47" s="3850"/>
      <c r="R47" s="3851">
        <f>E47</f>
        <v>123551</v>
      </c>
      <c r="S47" s="3851"/>
      <c r="T47" s="3851">
        <f>G47</f>
        <v>124556</v>
      </c>
      <c r="U47" s="3851"/>
      <c r="V47" s="3851">
        <f>I47</f>
        <v>120169</v>
      </c>
      <c r="W47" s="3851"/>
      <c r="X47" s="690"/>
      <c r="Y47" s="712"/>
      <c r="Z47" s="690"/>
      <c r="AA47" s="690"/>
      <c r="AB47" s="690"/>
      <c r="AC47" s="690"/>
    </row>
    <row r="48" spans="1:29" ht="15.75" thickBot="1">
      <c r="A48" s="437" t="s">
        <v>1704</v>
      </c>
      <c r="B48" s="438"/>
      <c r="C48" s="1160">
        <f>R49</f>
        <v>127814</v>
      </c>
      <c r="D48" s="2315" t="s">
        <v>2130</v>
      </c>
      <c r="E48" s="1161">
        <f>R48</f>
        <v>127346</v>
      </c>
      <c r="F48" s="2316"/>
      <c r="G48" s="1160">
        <f>T48</f>
        <v>130344</v>
      </c>
      <c r="H48" s="2316"/>
      <c r="I48" s="1161">
        <f>V48</f>
        <v>125753</v>
      </c>
      <c r="J48" s="2316"/>
      <c r="K48" s="2317">
        <f>F48+H48+J48</f>
        <v>0</v>
      </c>
      <c r="L48" s="2721"/>
      <c r="M48" s="2722"/>
      <c r="N48" s="2722"/>
      <c r="O48" s="2722"/>
      <c r="P48" s="3850" t="str">
        <f>A48</f>
        <v>比较价值（元/平方米）</v>
      </c>
      <c r="Q48" s="3850"/>
      <c r="R48" s="3851">
        <f>IF(F1="售价",ROUND(PRODUCT(R47,AA7:AA46),0),ROUND(PRODUCT(R47,AA7:AA46),1))</f>
        <v>127346</v>
      </c>
      <c r="S48" s="3851"/>
      <c r="T48" s="3851">
        <f>IF(F1="售价",ROUND(PRODUCT(T47,AB7:AB46),0),ROUND(PRODUCT(T47,AB7:AB46),1))</f>
        <v>130344</v>
      </c>
      <c r="U48" s="3851"/>
      <c r="V48" s="3851">
        <f>IF(F1="售价",ROUND(PRODUCT(V47,AC7:AC46),0),ROUND(PRODUCT(V47,AC7:AC46),1))</f>
        <v>125753</v>
      </c>
      <c r="W48" s="3851"/>
      <c r="X48" s="690"/>
      <c r="Y48" s="690"/>
      <c r="Z48" s="690"/>
      <c r="AA48" s="690"/>
      <c r="AB48" s="690"/>
      <c r="AC48" s="690"/>
    </row>
    <row r="49" spans="1:29" ht="15.75" thickBot="1">
      <c r="A49" s="3505" t="s">
        <v>3513</v>
      </c>
      <c r="B49" s="442"/>
      <c r="C49" s="1162">
        <f>R49</f>
        <v>127814</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127814</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3.0716060574175863E-2</v>
      </c>
      <c r="F52" s="449" t="str">
        <f>IF(OR(E52&gt;=0.3,E52&lt;=-0.3),"超过30%","")</f>
        <v/>
      </c>
      <c r="G52" s="448">
        <f>IF(G47&lt;G48,G48/G47-1,G47/G48-1)</f>
        <v>4.6469058094351201E-2</v>
      </c>
      <c r="H52" s="449" t="str">
        <f>IF(OR(G52&gt;=0.3,G52&lt;=-0.3),"超过30%","")</f>
        <v/>
      </c>
      <c r="I52" s="448">
        <f>IF(I47&lt;I48,I48/I47-1,I47/I48-1)</f>
        <v>4.6467891053433075E-2</v>
      </c>
      <c r="J52" s="449" t="str">
        <f>IF(OR(I52&gt;=0.3,I52&lt;=-0.3),"超过30%","")</f>
        <v/>
      </c>
      <c r="K52" s="2727"/>
      <c r="L52" s="2723"/>
      <c r="M52" s="2722"/>
      <c r="N52" s="2722"/>
      <c r="O52" s="2722"/>
    </row>
    <row r="53" spans="1:29" ht="13.5" customHeight="1">
      <c r="A53" s="2722"/>
      <c r="B53" s="2722"/>
      <c r="C53" s="446" t="s">
        <v>1706</v>
      </c>
      <c r="D53" s="450"/>
      <c r="E53" s="448">
        <f>IF(E48&lt;G48,G48/E48-1,E48/G48-1)</f>
        <v>2.3542160727466843E-2</v>
      </c>
      <c r="F53" s="449" t="str">
        <f>IF(OR(E53&gt;=0.2,E53&lt;=-0.2),"超过20%","")</f>
        <v/>
      </c>
      <c r="G53" s="448">
        <f>IF(G48&lt;I48,I48/G48-1,G48/I48-1)</f>
        <v>3.6508075354067193E-2</v>
      </c>
      <c r="H53" s="449" t="str">
        <f>IF(OR(G53&gt;=0.2,G53&lt;=-0.2),"超过20%","")</f>
        <v/>
      </c>
      <c r="I53" s="448">
        <f>IF(I48&lt;E48,E48/I48-1,I48/E48-1)</f>
        <v>1.26676898364253E-2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3504</v>
      </c>
      <c r="D65" s="3501" t="s">
        <v>3505</v>
      </c>
      <c r="E65" s="3501" t="s">
        <v>3506</v>
      </c>
      <c r="F65" s="3501" t="s">
        <v>3507</v>
      </c>
      <c r="G65" s="3501" t="s">
        <v>3508</v>
      </c>
      <c r="H65" s="3501" t="s">
        <v>3509</v>
      </c>
      <c r="I65" s="3501" t="s">
        <v>3510</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3522</v>
      </c>
      <c r="D88" s="3521" t="s">
        <v>3524</v>
      </c>
      <c r="E88" s="3521" t="s">
        <v>3562</v>
      </c>
      <c r="F88" s="3521" t="s">
        <v>3561</v>
      </c>
      <c r="G88" s="3521" t="s">
        <v>3578</v>
      </c>
      <c r="H88" s="3521" t="s">
        <v>3579</v>
      </c>
      <c r="I88" s="3547" t="s">
        <v>3580</v>
      </c>
      <c r="J88" s="3547" t="s">
        <v>3581</v>
      </c>
      <c r="K88" s="3521" t="s">
        <v>3564</v>
      </c>
      <c r="L88" s="3521" t="s">
        <v>3598</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6">
        <f t="shared" ref="N89" si="26">M89-$K26</f>
        <v>94.5</v>
      </c>
      <c r="O89" s="3546">
        <f t="shared" ref="O89" si="27">N89-$K26</f>
        <v>94</v>
      </c>
      <c r="P89" s="3546">
        <f t="shared" ref="P89" si="28">O89-$K26</f>
        <v>93.5</v>
      </c>
      <c r="Q89" s="3546">
        <f t="shared" ref="Q89:R89" si="29">P89-$K26</f>
        <v>93</v>
      </c>
      <c r="R89" s="3546">
        <f t="shared" si="29"/>
        <v>92.5</v>
      </c>
    </row>
    <row r="90" spans="1:18" s="422" customFormat="1" ht="15.75" thickTop="1">
      <c r="A90" s="502"/>
      <c r="B90" s="487" t="str">
        <f>B27</f>
        <v>楼层</v>
      </c>
      <c r="C90" s="3513" t="s">
        <v>3532</v>
      </c>
      <c r="D90" s="3513" t="s">
        <v>3533</v>
      </c>
      <c r="E90" s="3513"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3535</v>
      </c>
      <c r="D100" s="3515" t="s">
        <v>3536</v>
      </c>
      <c r="E100" s="3516" t="s">
        <v>3537</v>
      </c>
      <c r="F100" s="3517" t="s">
        <v>3538</v>
      </c>
      <c r="G100" s="3517" t="s">
        <v>3539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3540</v>
      </c>
      <c r="D105" s="3511" t="s">
        <v>3541</v>
      </c>
      <c r="E105" s="3520" t="s">
        <v>3542</v>
      </c>
      <c r="F105" s="3520" t="s">
        <v>3543</v>
      </c>
      <c r="G105" s="3521" t="s">
        <v>3544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11" t="s">
        <v>3545</v>
      </c>
      <c r="D109" s="3511" t="s">
        <v>3546</v>
      </c>
      <c r="E109" s="3511" t="s">
        <v>3547</v>
      </c>
      <c r="F109" s="3520"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3549</v>
      </c>
      <c r="D114" s="3511" t="s">
        <v>3550</v>
      </c>
      <c r="E114" s="3521" t="s">
        <v>3551</v>
      </c>
      <c r="F114" s="3521"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11" t="s">
        <v>3514</v>
      </c>
      <c r="D116" s="3511" t="s">
        <v>3553</v>
      </c>
      <c r="E116" s="3511" t="s">
        <v>3554</v>
      </c>
      <c r="F116" s="3511" t="s">
        <v>3555</v>
      </c>
      <c r="G116" s="3511"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3557</v>
      </c>
      <c r="D118" s="3511" t="s">
        <v>3558</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3545</v>
      </c>
      <c r="D122" s="3511" t="s">
        <v>3546</v>
      </c>
      <c r="E122" s="3511" t="s">
        <v>3547</v>
      </c>
      <c r="F122" s="3520"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23" sqref="L23"/>
    </sheetView>
  </sheetViews>
  <sheetFormatPr defaultRowHeight="13.5"/>
  <sheetData>
    <row r="2" spans="11:15" ht="24">
      <c r="K2" s="3855" t="s">
        <v>3515</v>
      </c>
      <c r="L2" s="3506" t="s">
        <v>3518</v>
      </c>
      <c r="M2" s="3506" t="s">
        <v>3560</v>
      </c>
      <c r="N2" s="3506" t="s">
        <v>3521</v>
      </c>
      <c r="O2" s="3506" t="s">
        <v>3512</v>
      </c>
    </row>
    <row r="3" spans="11:15">
      <c r="K3" s="3855"/>
      <c r="L3" s="3508">
        <v>59.49</v>
      </c>
      <c r="M3" s="3508">
        <v>123551</v>
      </c>
      <c r="N3" s="3508" t="s">
        <v>3561</v>
      </c>
      <c r="O3" s="3508" t="s">
        <v>3563</v>
      </c>
    </row>
    <row r="4" spans="11:15">
      <c r="K4" s="3855"/>
      <c r="L4" s="3508">
        <v>59.09</v>
      </c>
      <c r="M4" s="3508">
        <v>124556</v>
      </c>
      <c r="N4" s="3508" t="s">
        <v>3562</v>
      </c>
      <c r="O4" s="3508" t="s">
        <v>3528</v>
      </c>
    </row>
    <row r="5" spans="11:15">
      <c r="K5" s="3855"/>
      <c r="L5" s="3508">
        <v>63.91</v>
      </c>
      <c r="M5" s="3508">
        <v>120169</v>
      </c>
      <c r="N5" s="3508" t="s">
        <v>3564</v>
      </c>
      <c r="O5" s="3508" t="s">
        <v>3528</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33" zoomScale="80" zoomScaleNormal="60" zoomScaleSheetLayoutView="80" workbookViewId="0">
      <selection activeCell="G50" sqref="G5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3"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1.0488999999999999</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179</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1" t="s">
        <v>1662</v>
      </c>
      <c r="D4" s="3812"/>
      <c r="E4" s="3813" t="s">
        <v>1663</v>
      </c>
      <c r="F4" s="3814"/>
      <c r="G4" s="3811" t="s">
        <v>1664</v>
      </c>
      <c r="H4" s="3812"/>
      <c r="I4" s="3811" t="s">
        <v>1665</v>
      </c>
      <c r="J4" s="3812"/>
      <c r="K4" s="1889" t="s">
        <v>1666</v>
      </c>
      <c r="L4" s="2712"/>
      <c r="M4" s="2713"/>
      <c r="N4" s="2713"/>
      <c r="O4" s="2713"/>
      <c r="P4" s="3815" t="s">
        <v>1667</v>
      </c>
      <c r="Q4" s="3816"/>
      <c r="R4" s="3821" t="s">
        <v>1663</v>
      </c>
      <c r="S4" s="3822"/>
      <c r="T4" s="3821" t="s">
        <v>1664</v>
      </c>
      <c r="U4" s="3822"/>
      <c r="V4" s="3836" t="s">
        <v>1665</v>
      </c>
      <c r="W4" s="3836"/>
      <c r="X4" s="3451"/>
      <c r="Y4" s="3821" t="s">
        <v>1667</v>
      </c>
      <c r="Z4" s="3822"/>
      <c r="AA4" s="3808" t="s">
        <v>1663</v>
      </c>
      <c r="AB4" s="3808" t="s">
        <v>1664</v>
      </c>
      <c r="AC4" s="3808" t="s">
        <v>1665</v>
      </c>
    </row>
    <row r="5" spans="1:29" ht="15.75" thickBot="1">
      <c r="A5" s="358"/>
      <c r="B5" s="359"/>
      <c r="C5" s="3825" t="s">
        <v>3502</v>
      </c>
      <c r="D5" s="3826"/>
      <c r="E5" s="3827" t="str">
        <f>C5</f>
        <v>双榆树西里</v>
      </c>
      <c r="F5" s="3828"/>
      <c r="G5" s="3829" t="str">
        <f>C5</f>
        <v>双榆树西里</v>
      </c>
      <c r="H5" s="3826"/>
      <c r="I5" s="3829" t="str">
        <f>C5</f>
        <v>双榆树西里</v>
      </c>
      <c r="J5" s="3826"/>
      <c r="K5" s="1890"/>
      <c r="L5" s="2712"/>
      <c r="M5" s="2713"/>
      <c r="N5" s="2713"/>
      <c r="O5" s="2713"/>
      <c r="P5" s="3817"/>
      <c r="Q5" s="3818"/>
      <c r="R5" s="3823"/>
      <c r="S5" s="3824"/>
      <c r="T5" s="3823"/>
      <c r="U5" s="3824"/>
      <c r="V5" s="3836"/>
      <c r="W5" s="3836"/>
      <c r="X5" s="3451"/>
      <c r="Y5" s="3823"/>
      <c r="Z5" s="3824"/>
      <c r="AA5" s="3809"/>
      <c r="AB5" s="3809"/>
      <c r="AC5" s="3809"/>
    </row>
    <row r="6" spans="1:29" ht="15.75" hidden="1" thickBot="1">
      <c r="A6" s="360"/>
      <c r="B6" s="361"/>
      <c r="C6" s="3830" t="s">
        <v>1672</v>
      </c>
      <c r="D6" s="3831"/>
      <c r="E6" s="3832" t="s">
        <v>1672</v>
      </c>
      <c r="F6" s="3833"/>
      <c r="G6" s="3830" t="s">
        <v>1672</v>
      </c>
      <c r="H6" s="3831"/>
      <c r="I6" s="3830" t="s">
        <v>1672</v>
      </c>
      <c r="J6" s="3831"/>
      <c r="K6" s="1890" t="s">
        <v>1673</v>
      </c>
      <c r="L6" s="2712"/>
      <c r="M6" s="2713"/>
      <c r="N6" s="2713"/>
      <c r="O6" s="2713"/>
      <c r="P6" s="3819"/>
      <c r="Q6" s="3820"/>
      <c r="R6" s="3823"/>
      <c r="S6" s="3824"/>
      <c r="T6" s="3834"/>
      <c r="U6" s="3835"/>
      <c r="V6" s="3836"/>
      <c r="W6" s="3836"/>
      <c r="X6" s="3451"/>
      <c r="Y6" s="3834"/>
      <c r="Z6" s="3835"/>
      <c r="AA6" s="3810"/>
      <c r="AB6" s="3810"/>
      <c r="AC6" s="3810"/>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37" t="s">
        <v>1675</v>
      </c>
      <c r="Q7" s="3838"/>
      <c r="R7" s="701" t="s">
        <v>14</v>
      </c>
      <c r="S7" s="702">
        <f t="shared" ref="S7:S15" si="0">F7</f>
        <v>100</v>
      </c>
      <c r="T7" s="701" t="s">
        <v>14</v>
      </c>
      <c r="U7" s="702">
        <f t="shared" ref="U7:U15" si="1">H7</f>
        <v>100</v>
      </c>
      <c r="V7" s="701" t="s">
        <v>14</v>
      </c>
      <c r="W7" s="702">
        <f t="shared" ref="W7:W15" si="2">J7</f>
        <v>100</v>
      </c>
      <c r="X7" s="703"/>
      <c r="Y7" s="3837" t="s">
        <v>1675</v>
      </c>
      <c r="Z7" s="383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40"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3508</v>
      </c>
      <c r="D10" s="127">
        <v>100</v>
      </c>
      <c r="E10" s="3504" t="s">
        <v>3508</v>
      </c>
      <c r="F10" s="376">
        <f>SUMIF(65:65,E10,66:66)-SUMIF(65:65,C10,66:66)+100</f>
        <v>100</v>
      </c>
      <c r="G10" s="3504" t="s">
        <v>3508</v>
      </c>
      <c r="H10" s="127">
        <f>SUMIF(65:65,G10,66:66)-SUMIF(65:65,C10,66:66)+100</f>
        <v>100</v>
      </c>
      <c r="I10" s="3504" t="s">
        <v>3508</v>
      </c>
      <c r="J10" s="127">
        <f>SUMIF(65:65,I10,66:66)-SUMIF(65:65,C10,66:66)+100</f>
        <v>100</v>
      </c>
      <c r="K10" s="1891"/>
      <c r="L10" s="2716"/>
      <c r="M10" s="2717"/>
      <c r="N10" s="2717"/>
      <c r="O10" s="2717"/>
      <c r="P10" s="3840"/>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0"/>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0"/>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0"/>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0"/>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9" t="str">
        <f t="shared" si="6"/>
        <v>居住社区成熟度</v>
      </c>
      <c r="R15" s="705" t="s">
        <v>14</v>
      </c>
      <c r="S15" s="706">
        <f t="shared" si="0"/>
        <v>100</v>
      </c>
      <c r="T15" s="705" t="s">
        <v>14</v>
      </c>
      <c r="U15" s="706">
        <f t="shared" si="1"/>
        <v>100</v>
      </c>
      <c r="V15" s="705" t="s">
        <v>14</v>
      </c>
      <c r="W15" s="706">
        <f t="shared" si="2"/>
        <v>100</v>
      </c>
      <c r="X15" s="3451"/>
      <c r="Y15" s="3843" t="s">
        <v>1686</v>
      </c>
      <c r="Z15" s="3452" t="str">
        <f t="shared" si="7"/>
        <v>居住社区成熟度</v>
      </c>
      <c r="AA15" s="3450">
        <f t="shared" si="3"/>
        <v>1</v>
      </c>
      <c r="AB15" s="3450">
        <f t="shared" si="4"/>
        <v>1</v>
      </c>
      <c r="AC15" s="3450">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42"/>
      <c r="Q16" s="3449"/>
      <c r="R16" s="705"/>
      <c r="S16" s="706"/>
      <c r="T16" s="705"/>
      <c r="U16" s="706"/>
      <c r="V16" s="705"/>
      <c r="W16" s="706"/>
      <c r="X16" s="3451"/>
      <c r="Y16" s="3844"/>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9" t="str">
        <f>B17</f>
        <v>交通便捷度</v>
      </c>
      <c r="R17" s="705" t="s">
        <v>14</v>
      </c>
      <c r="S17" s="706">
        <f>F17</f>
        <v>100</v>
      </c>
      <c r="T17" s="705" t="s">
        <v>14</v>
      </c>
      <c r="U17" s="706">
        <f>H17</f>
        <v>100</v>
      </c>
      <c r="V17" s="705" t="s">
        <v>14</v>
      </c>
      <c r="W17" s="706">
        <f>J17</f>
        <v>100</v>
      </c>
      <c r="X17" s="3451"/>
      <c r="Y17" s="3844"/>
      <c r="Z17" s="3452" t="str">
        <f>Q17</f>
        <v>交通便捷度</v>
      </c>
      <c r="AA17" s="3450">
        <f t="shared" si="3"/>
        <v>1</v>
      </c>
      <c r="AB17" s="3450">
        <f t="shared" si="4"/>
        <v>1</v>
      </c>
      <c r="AC17" s="3450">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42"/>
      <c r="Q18" s="3449"/>
      <c r="R18" s="705"/>
      <c r="S18" s="706"/>
      <c r="T18" s="705"/>
      <c r="U18" s="706"/>
      <c r="V18" s="705"/>
      <c r="W18" s="706"/>
      <c r="X18" s="3451"/>
      <c r="Y18" s="3844"/>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9" t="str">
        <f>B19</f>
        <v>公共配套设施</v>
      </c>
      <c r="R19" s="705" t="s">
        <v>14</v>
      </c>
      <c r="S19" s="706">
        <f>F19</f>
        <v>100</v>
      </c>
      <c r="T19" s="705" t="s">
        <v>14</v>
      </c>
      <c r="U19" s="706">
        <f>H19</f>
        <v>100</v>
      </c>
      <c r="V19" s="705" t="s">
        <v>14</v>
      </c>
      <c r="W19" s="706">
        <f>J19</f>
        <v>100</v>
      </c>
      <c r="X19" s="3451"/>
      <c r="Y19" s="3844"/>
      <c r="Z19" s="3452" t="str">
        <f>Q19</f>
        <v>公共配套设施</v>
      </c>
      <c r="AA19" s="3450">
        <f t="shared" si="3"/>
        <v>1</v>
      </c>
      <c r="AB19" s="3450">
        <f t="shared" si="4"/>
        <v>1</v>
      </c>
      <c r="AC19" s="3450">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42"/>
      <c r="Q20" s="3449"/>
      <c r="R20" s="705"/>
      <c r="S20" s="706"/>
      <c r="T20" s="705"/>
      <c r="U20" s="706"/>
      <c r="V20" s="705"/>
      <c r="W20" s="706"/>
      <c r="X20" s="3451"/>
      <c r="Y20" s="3844"/>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9" t="str">
        <f>B21</f>
        <v>基础设施水平</v>
      </c>
      <c r="R21" s="705" t="s">
        <v>14</v>
      </c>
      <c r="S21" s="706">
        <f>F21</f>
        <v>100</v>
      </c>
      <c r="T21" s="705" t="s">
        <v>14</v>
      </c>
      <c r="U21" s="706">
        <f>H21</f>
        <v>100</v>
      </c>
      <c r="V21" s="705" t="s">
        <v>14</v>
      </c>
      <c r="W21" s="706">
        <f>J21</f>
        <v>100</v>
      </c>
      <c r="X21" s="3451"/>
      <c r="Y21" s="3844"/>
      <c r="Z21" s="3452" t="str">
        <f>Q21</f>
        <v>基础设施水平</v>
      </c>
      <c r="AA21" s="3450">
        <f t="shared" ref="AA21" si="8">D21/F21</f>
        <v>1</v>
      </c>
      <c r="AB21" s="3450">
        <f t="shared" ref="AB21" si="9">D21/H21</f>
        <v>1</v>
      </c>
      <c r="AC21" s="3450">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42"/>
      <c r="Q22" s="3449"/>
      <c r="R22" s="705"/>
      <c r="S22" s="706"/>
      <c r="T22" s="705"/>
      <c r="U22" s="706"/>
      <c r="V22" s="705"/>
      <c r="W22" s="706"/>
      <c r="X22" s="3451"/>
      <c r="Y22" s="3844"/>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9" t="str">
        <f>B23</f>
        <v>自然及人文环境</v>
      </c>
      <c r="R23" s="705" t="s">
        <v>14</v>
      </c>
      <c r="S23" s="706">
        <f>F23</f>
        <v>100</v>
      </c>
      <c r="T23" s="705" t="s">
        <v>14</v>
      </c>
      <c r="U23" s="706">
        <f>H23</f>
        <v>100</v>
      </c>
      <c r="V23" s="705" t="s">
        <v>14</v>
      </c>
      <c r="W23" s="706">
        <f>J23</f>
        <v>100</v>
      </c>
      <c r="X23" s="3451"/>
      <c r="Y23" s="3844"/>
      <c r="Z23" s="3452" t="str">
        <f>Q23</f>
        <v>自然及人文环境</v>
      </c>
      <c r="AA23" s="3450">
        <f>D23/F23</f>
        <v>1</v>
      </c>
      <c r="AB23" s="3450">
        <f>D23/H23</f>
        <v>1</v>
      </c>
      <c r="AC23" s="3450">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42"/>
      <c r="Q24" s="3449"/>
      <c r="R24" s="705"/>
      <c r="S24" s="706"/>
      <c r="T24" s="705"/>
      <c r="U24" s="706"/>
      <c r="V24" s="705"/>
      <c r="W24" s="706"/>
      <c r="X24" s="3451"/>
      <c r="Y24" s="3844"/>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4"/>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3523</v>
      </c>
      <c r="D26" s="386">
        <v>100</v>
      </c>
      <c r="E26" s="1906" t="s">
        <v>3523</v>
      </c>
      <c r="F26" s="386">
        <f>SUMIF(88:88,E26,89:89)-SUMIF(88:88,C26,89:89)+100</f>
        <v>100</v>
      </c>
      <c r="G26" s="1907" t="s">
        <v>3523</v>
      </c>
      <c r="H26" s="386">
        <f>SUMIF(88:88,G26,89:89)-SUMIF(88:88,C26,89:89)+100</f>
        <v>100</v>
      </c>
      <c r="I26" s="1907" t="s">
        <v>3523</v>
      </c>
      <c r="J26" s="386">
        <f>SUMIF(88:88,I26,89:89)-SUMIF(88:88,C26,89:89)+100</f>
        <v>100</v>
      </c>
      <c r="K26" s="377">
        <v>0.5</v>
      </c>
      <c r="L26" s="2719"/>
      <c r="M26" s="2713"/>
      <c r="N26" s="2713"/>
      <c r="O26" s="2713"/>
      <c r="P26" s="3842"/>
      <c r="Q26" s="3449" t="str">
        <f t="shared" si="11"/>
        <v>朝向</v>
      </c>
      <c r="R26" s="705" t="s">
        <v>14</v>
      </c>
      <c r="S26" s="706">
        <f t="shared" si="12"/>
        <v>100</v>
      </c>
      <c r="T26" s="705" t="s">
        <v>14</v>
      </c>
      <c r="U26" s="706">
        <f t="shared" si="13"/>
        <v>100</v>
      </c>
      <c r="V26" s="705" t="s">
        <v>14</v>
      </c>
      <c r="W26" s="706">
        <f t="shared" si="14"/>
        <v>100</v>
      </c>
      <c r="X26" s="3451"/>
      <c r="Y26" s="3844"/>
      <c r="Z26" s="3452" t="str">
        <f>Q26</f>
        <v>朝向</v>
      </c>
      <c r="AA26" s="3450">
        <f t="shared" si="15"/>
        <v>1</v>
      </c>
      <c r="AB26" s="3450">
        <f t="shared" si="16"/>
        <v>1</v>
      </c>
      <c r="AC26" s="3450">
        <f t="shared" si="17"/>
        <v>1</v>
      </c>
    </row>
    <row r="27" spans="1:29" s="108" customFormat="1" ht="15.75" thickBot="1">
      <c r="A27" s="382"/>
      <c r="B27" s="3503" t="s">
        <v>3512</v>
      </c>
      <c r="C27" s="3518" t="s">
        <v>3532</v>
      </c>
      <c r="D27" s="413">
        <v>100</v>
      </c>
      <c r="E27" s="3519" t="s">
        <v>3534</v>
      </c>
      <c r="F27" s="413">
        <f>SUMIF(90:90,E27,91:91)-SUMIF(90:90,C27,91:91)+100</f>
        <v>96</v>
      </c>
      <c r="G27" s="3519" t="s">
        <v>3533</v>
      </c>
      <c r="H27" s="413">
        <f>SUMIF(90:90,G27,91:91)-SUMIF(90:90,C27,91:91)+100</f>
        <v>98</v>
      </c>
      <c r="I27" s="3519" t="s">
        <v>3533</v>
      </c>
      <c r="J27" s="413">
        <f>SUMIF(90:90,I27,91:91)-SUMIF(90:90,C27,91:91)+100</f>
        <v>98</v>
      </c>
      <c r="K27" s="1894"/>
      <c r="L27" s="2714"/>
      <c r="M27" s="2715"/>
      <c r="N27" s="2715"/>
      <c r="O27" s="2715"/>
      <c r="P27" s="3842"/>
      <c r="Q27" s="3448" t="str">
        <f t="shared" si="11"/>
        <v>楼层</v>
      </c>
      <c r="R27" s="701" t="s">
        <v>14</v>
      </c>
      <c r="S27" s="702">
        <f t="shared" si="12"/>
        <v>96</v>
      </c>
      <c r="T27" s="701" t="s">
        <v>14</v>
      </c>
      <c r="U27" s="702">
        <f t="shared" si="13"/>
        <v>98</v>
      </c>
      <c r="V27" s="701" t="s">
        <v>14</v>
      </c>
      <c r="W27" s="702">
        <f t="shared" si="14"/>
        <v>98</v>
      </c>
      <c r="X27" s="703"/>
      <c r="Y27" s="3844"/>
      <c r="Z27" s="3447" t="str">
        <f>Q27</f>
        <v>楼层</v>
      </c>
      <c r="AA27" s="3450">
        <f t="shared" si="15"/>
        <v>1.0416666666666667</v>
      </c>
      <c r="AB27" s="3450">
        <f t="shared" si="16"/>
        <v>1.0204081632653061</v>
      </c>
      <c r="AC27" s="3450">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9">
        <f t="shared" si="11"/>
        <v>111</v>
      </c>
      <c r="R28" s="705" t="s">
        <v>14</v>
      </c>
      <c r="S28" s="706">
        <f t="shared" si="12"/>
        <v>100</v>
      </c>
      <c r="T28" s="705" t="s">
        <v>14</v>
      </c>
      <c r="U28" s="706">
        <f t="shared" si="13"/>
        <v>100</v>
      </c>
      <c r="V28" s="705" t="s">
        <v>14</v>
      </c>
      <c r="W28" s="706">
        <f t="shared" si="14"/>
        <v>100</v>
      </c>
      <c r="X28" s="3451"/>
      <c r="Y28" s="3844"/>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9">
        <f t="shared" si="11"/>
        <v>111</v>
      </c>
      <c r="R29" s="705" t="s">
        <v>14</v>
      </c>
      <c r="S29" s="706">
        <f t="shared" si="12"/>
        <v>100</v>
      </c>
      <c r="T29" s="705" t="s">
        <v>14</v>
      </c>
      <c r="U29" s="706">
        <f t="shared" si="13"/>
        <v>100</v>
      </c>
      <c r="V29" s="705" t="s">
        <v>14</v>
      </c>
      <c r="W29" s="706">
        <f t="shared" si="14"/>
        <v>100</v>
      </c>
      <c r="X29" s="3451"/>
      <c r="Y29" s="3844"/>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9">
        <f t="shared" si="11"/>
        <v>111</v>
      </c>
      <c r="R30" s="705" t="s">
        <v>14</v>
      </c>
      <c r="S30" s="706">
        <f t="shared" si="12"/>
        <v>100</v>
      </c>
      <c r="T30" s="705" t="s">
        <v>14</v>
      </c>
      <c r="U30" s="706">
        <f t="shared" si="13"/>
        <v>100</v>
      </c>
      <c r="V30" s="705" t="s">
        <v>14</v>
      </c>
      <c r="W30" s="706">
        <f t="shared" si="14"/>
        <v>100</v>
      </c>
      <c r="X30" s="3451"/>
      <c r="Y30" s="3844"/>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9">
        <f t="shared" si="11"/>
        <v>111</v>
      </c>
      <c r="R31" s="705" t="s">
        <v>14</v>
      </c>
      <c r="S31" s="706">
        <f t="shared" si="12"/>
        <v>100</v>
      </c>
      <c r="T31" s="705" t="s">
        <v>14</v>
      </c>
      <c r="U31" s="706">
        <f t="shared" si="13"/>
        <v>100</v>
      </c>
      <c r="V31" s="705" t="s">
        <v>14</v>
      </c>
      <c r="W31" s="706">
        <f t="shared" si="14"/>
        <v>100</v>
      </c>
      <c r="X31" s="3451"/>
      <c r="Y31" s="3844"/>
      <c r="Z31" s="3452">
        <f t="shared" si="18"/>
        <v>111</v>
      </c>
      <c r="AA31" s="3450">
        <f t="shared" si="15"/>
        <v>1</v>
      </c>
      <c r="AB31" s="3450">
        <f t="shared" si="16"/>
        <v>1</v>
      </c>
      <c r="AC31" s="3450">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45" t="s">
        <v>1691</v>
      </c>
      <c r="Q32" s="3449" t="str">
        <f t="shared" si="11"/>
        <v>建筑类型</v>
      </c>
      <c r="R32" s="705" t="s">
        <v>14</v>
      </c>
      <c r="S32" s="706">
        <f t="shared" si="12"/>
        <v>100</v>
      </c>
      <c r="T32" s="705" t="s">
        <v>14</v>
      </c>
      <c r="U32" s="706">
        <f t="shared" si="13"/>
        <v>100</v>
      </c>
      <c r="V32" s="705" t="s">
        <v>14</v>
      </c>
      <c r="W32" s="706">
        <f t="shared" si="14"/>
        <v>100</v>
      </c>
      <c r="X32" s="3451"/>
      <c r="Y32" s="3848"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46"/>
      <c r="Q33" s="707" t="str">
        <f t="shared" si="11"/>
        <v>项目建筑规模</v>
      </c>
      <c r="R33" s="708" t="s">
        <v>14</v>
      </c>
      <c r="S33" s="709">
        <f t="shared" si="12"/>
        <v>100</v>
      </c>
      <c r="T33" s="708" t="s">
        <v>14</v>
      </c>
      <c r="U33" s="709">
        <f t="shared" si="13"/>
        <v>100</v>
      </c>
      <c r="V33" s="708" t="s">
        <v>14</v>
      </c>
      <c r="W33" s="709">
        <f t="shared" si="14"/>
        <v>100</v>
      </c>
      <c r="X33" s="710"/>
      <c r="Y33" s="3848"/>
      <c r="Z33" s="711" t="str">
        <f t="shared" si="18"/>
        <v>项目建筑规模</v>
      </c>
      <c r="AA33" s="3450">
        <f t="shared" si="15"/>
        <v>1</v>
      </c>
      <c r="AB33" s="3450">
        <f t="shared" si="16"/>
        <v>1</v>
      </c>
      <c r="AC33" s="3450">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46"/>
      <c r="Q34" s="3449" t="str">
        <f t="shared" si="11"/>
        <v>建筑结构</v>
      </c>
      <c r="R34" s="705" t="s">
        <v>14</v>
      </c>
      <c r="S34" s="706">
        <f t="shared" si="12"/>
        <v>100</v>
      </c>
      <c r="T34" s="705" t="s">
        <v>14</v>
      </c>
      <c r="U34" s="706">
        <f t="shared" si="13"/>
        <v>100</v>
      </c>
      <c r="V34" s="705" t="s">
        <v>14</v>
      </c>
      <c r="W34" s="706">
        <f t="shared" si="14"/>
        <v>100</v>
      </c>
      <c r="X34" s="3451"/>
      <c r="Y34" s="3848"/>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9" t="str">
        <f t="shared" si="11"/>
        <v>建筑品质</v>
      </c>
      <c r="R35" s="705" t="s">
        <v>14</v>
      </c>
      <c r="S35" s="706">
        <f t="shared" si="12"/>
        <v>100</v>
      </c>
      <c r="T35" s="705" t="s">
        <v>14</v>
      </c>
      <c r="U35" s="706">
        <f t="shared" si="13"/>
        <v>100</v>
      </c>
      <c r="V35" s="705" t="s">
        <v>14</v>
      </c>
      <c r="W35" s="706">
        <f t="shared" si="14"/>
        <v>100</v>
      </c>
      <c r="X35" s="3451"/>
      <c r="Y35" s="3848"/>
      <c r="Z35" s="3452" t="str">
        <f t="shared" si="18"/>
        <v>建筑品质</v>
      </c>
      <c r="AA35" s="3450">
        <f t="shared" si="15"/>
        <v>1</v>
      </c>
      <c r="AB35" s="3450">
        <f t="shared" si="16"/>
        <v>1</v>
      </c>
      <c r="AC35" s="3450">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46"/>
      <c r="Q36" s="3449" t="str">
        <f t="shared" si="11"/>
        <v>公共部分装修</v>
      </c>
      <c r="R36" s="705" t="s">
        <v>14</v>
      </c>
      <c r="S36" s="706">
        <f t="shared" si="12"/>
        <v>100</v>
      </c>
      <c r="T36" s="705" t="s">
        <v>14</v>
      </c>
      <c r="U36" s="706">
        <f t="shared" si="13"/>
        <v>100</v>
      </c>
      <c r="V36" s="705" t="s">
        <v>14</v>
      </c>
      <c r="W36" s="706">
        <f t="shared" si="14"/>
        <v>100</v>
      </c>
      <c r="X36" s="3451"/>
      <c r="Y36" s="3848"/>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8" t="str">
        <f t="shared" si="11"/>
        <v>成新度</v>
      </c>
      <c r="R37" s="701" t="s">
        <v>14</v>
      </c>
      <c r="S37" s="702">
        <f t="shared" si="12"/>
        <v>100</v>
      </c>
      <c r="T37" s="701" t="s">
        <v>14</v>
      </c>
      <c r="U37" s="702">
        <f t="shared" si="13"/>
        <v>100</v>
      </c>
      <c r="V37" s="701" t="s">
        <v>14</v>
      </c>
      <c r="W37" s="702">
        <f t="shared" si="14"/>
        <v>100</v>
      </c>
      <c r="X37" s="703"/>
      <c r="Y37" s="3848"/>
      <c r="Z37" s="3447"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46" t="s">
        <v>1691</v>
      </c>
      <c r="Q38" s="3449" t="str">
        <f t="shared" si="11"/>
        <v>物业管理</v>
      </c>
      <c r="R38" s="705" t="s">
        <v>14</v>
      </c>
      <c r="S38" s="706">
        <f t="shared" si="12"/>
        <v>100</v>
      </c>
      <c r="T38" s="705" t="s">
        <v>14</v>
      </c>
      <c r="U38" s="706">
        <f t="shared" si="13"/>
        <v>100</v>
      </c>
      <c r="V38" s="705" t="s">
        <v>14</v>
      </c>
      <c r="W38" s="706">
        <f t="shared" si="14"/>
        <v>100</v>
      </c>
      <c r="X38" s="3451"/>
      <c r="Y38" s="3848" t="s">
        <v>1691</v>
      </c>
      <c r="Z38" s="3452" t="str">
        <f t="shared" si="18"/>
        <v>物业管理</v>
      </c>
      <c r="AA38" s="3450">
        <f t="shared" si="15"/>
        <v>1</v>
      </c>
      <c r="AB38" s="3450">
        <f t="shared" si="16"/>
        <v>1</v>
      </c>
      <c r="AC38" s="3450">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46"/>
      <c r="Q39" s="3449" t="str">
        <f t="shared" si="11"/>
        <v>市政基础设施</v>
      </c>
      <c r="R39" s="705" t="s">
        <v>14</v>
      </c>
      <c r="S39" s="706">
        <f t="shared" si="12"/>
        <v>100</v>
      </c>
      <c r="T39" s="705" t="s">
        <v>14</v>
      </c>
      <c r="U39" s="706">
        <f t="shared" si="13"/>
        <v>100</v>
      </c>
      <c r="V39" s="705" t="s">
        <v>14</v>
      </c>
      <c r="W39" s="706">
        <f t="shared" si="14"/>
        <v>100</v>
      </c>
      <c r="X39" s="3451"/>
      <c r="Y39" s="3848"/>
      <c r="Z39" s="3452" t="str">
        <f t="shared" si="18"/>
        <v>市政基础设施</v>
      </c>
      <c r="AA39" s="3450">
        <f t="shared" si="15"/>
        <v>1</v>
      </c>
      <c r="AB39" s="3450">
        <f t="shared" si="16"/>
        <v>1</v>
      </c>
      <c r="AC39" s="3450">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46"/>
      <c r="Q40" s="3449" t="str">
        <f t="shared" si="11"/>
        <v>房型</v>
      </c>
      <c r="R40" s="705" t="s">
        <v>14</v>
      </c>
      <c r="S40" s="706">
        <f t="shared" si="12"/>
        <v>100</v>
      </c>
      <c r="T40" s="705" t="s">
        <v>14</v>
      </c>
      <c r="U40" s="706">
        <f t="shared" si="13"/>
        <v>100</v>
      </c>
      <c r="V40" s="705" t="s">
        <v>14</v>
      </c>
      <c r="W40" s="706">
        <f t="shared" si="14"/>
        <v>100</v>
      </c>
      <c r="X40" s="3451"/>
      <c r="Y40" s="3848"/>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3546</v>
      </c>
      <c r="F42" s="412">
        <f>SUMIF(122:122,E42,123:123)-SUMIF(122:122,C42,123:123)+100</f>
        <v>95</v>
      </c>
      <c r="G42" s="1906" t="s">
        <v>3546</v>
      </c>
      <c r="H42" s="386">
        <f>SUMIF(122:122,G42,123:123)-SUMIF(122:122,C42,123:123)+100</f>
        <v>95</v>
      </c>
      <c r="I42" s="1906" t="s">
        <v>3546</v>
      </c>
      <c r="J42" s="386">
        <f>SUMIF(122:122,I42,123:123)-SUMIF(122:122,C42,123:123)+100</f>
        <v>95</v>
      </c>
      <c r="K42" s="377">
        <v>5</v>
      </c>
      <c r="L42" s="2719"/>
      <c r="M42" s="2713"/>
      <c r="N42" s="2713"/>
      <c r="O42" s="2713"/>
      <c r="P42" s="3846"/>
      <c r="Q42" s="3449" t="str">
        <f t="shared" si="11"/>
        <v>内部装修</v>
      </c>
      <c r="R42" s="705" t="s">
        <v>14</v>
      </c>
      <c r="S42" s="706">
        <f t="shared" si="12"/>
        <v>95</v>
      </c>
      <c r="T42" s="705" t="s">
        <v>14</v>
      </c>
      <c r="U42" s="706">
        <f t="shared" si="13"/>
        <v>95</v>
      </c>
      <c r="V42" s="705" t="s">
        <v>14</v>
      </c>
      <c r="W42" s="706">
        <f t="shared" si="14"/>
        <v>95</v>
      </c>
      <c r="X42" s="3451"/>
      <c r="Y42" s="3848"/>
      <c r="Z42" s="3452" t="str">
        <f t="shared" si="18"/>
        <v>内部装修</v>
      </c>
      <c r="AA42" s="3450">
        <f t="shared" si="15"/>
        <v>1.0526315789473684</v>
      </c>
      <c r="AB42" s="3450">
        <f t="shared" si="16"/>
        <v>1.0526315789473684</v>
      </c>
      <c r="AC42" s="3450">
        <f t="shared" si="17"/>
        <v>1.0526315789473684</v>
      </c>
    </row>
    <row r="43" spans="1:29" ht="15">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46"/>
      <c r="Q43" s="3449" t="str">
        <f t="shared" si="11"/>
        <v>内部装修维护情况</v>
      </c>
      <c r="R43" s="705" t="s">
        <v>14</v>
      </c>
      <c r="S43" s="706">
        <f t="shared" si="12"/>
        <v>100</v>
      </c>
      <c r="T43" s="705" t="s">
        <v>14</v>
      </c>
      <c r="U43" s="706">
        <f t="shared" si="13"/>
        <v>100</v>
      </c>
      <c r="V43" s="705" t="s">
        <v>14</v>
      </c>
      <c r="W43" s="706">
        <f t="shared" si="14"/>
        <v>100</v>
      </c>
      <c r="X43" s="3451"/>
      <c r="Y43" s="3848"/>
      <c r="Z43" s="3452" t="str">
        <f t="shared" si="18"/>
        <v>内部装修维护情况</v>
      </c>
      <c r="AA43" s="3450">
        <f t="shared" si="15"/>
        <v>1</v>
      </c>
      <c r="AB43" s="3450">
        <f t="shared" si="16"/>
        <v>1</v>
      </c>
      <c r="AC43" s="3450">
        <f t="shared" si="17"/>
        <v>1</v>
      </c>
    </row>
    <row r="44" spans="1:29" s="108" customFormat="1" ht="30" customHeight="1">
      <c r="A44" s="424"/>
      <c r="B44" s="3503" t="s">
        <v>3611</v>
      </c>
      <c r="C44" s="3937" t="s">
        <v>3612</v>
      </c>
      <c r="D44" s="127">
        <v>100</v>
      </c>
      <c r="E44" s="3937" t="s">
        <v>3613</v>
      </c>
      <c r="F44" s="376">
        <f>SUMIF(126:126,E44,127:127)-SUMIF(126:126,C44,127:127)+100</f>
        <v>95</v>
      </c>
      <c r="G44" s="3937" t="s">
        <v>3613</v>
      </c>
      <c r="H44" s="127">
        <f>SUMIF(126:126,G44,127:127)-SUMIF(126:126,C44,127:127)+100</f>
        <v>95</v>
      </c>
      <c r="I44" s="3937" t="s">
        <v>3613</v>
      </c>
      <c r="J44" s="127">
        <f>SUMIF(126:126,I44,127:127)-SUMIF(126:126,C44,127:127)+100</f>
        <v>95</v>
      </c>
      <c r="K44" s="1894"/>
      <c r="L44" s="2714"/>
      <c r="M44" s="2715"/>
      <c r="N44" s="2715"/>
      <c r="O44" s="2715"/>
      <c r="P44" s="3846"/>
      <c r="Q44" s="3448" t="str">
        <f t="shared" si="11"/>
        <v>室内装饰装修</v>
      </c>
      <c r="R44" s="701" t="s">
        <v>14</v>
      </c>
      <c r="S44" s="702">
        <f t="shared" si="12"/>
        <v>95</v>
      </c>
      <c r="T44" s="701" t="s">
        <v>14</v>
      </c>
      <c r="U44" s="702">
        <f t="shared" si="13"/>
        <v>95</v>
      </c>
      <c r="V44" s="701" t="s">
        <v>14</v>
      </c>
      <c r="W44" s="702">
        <f t="shared" si="14"/>
        <v>95</v>
      </c>
      <c r="X44" s="703"/>
      <c r="Y44" s="3848"/>
      <c r="Z44" s="3447" t="str">
        <f t="shared" si="18"/>
        <v>室内装饰装修</v>
      </c>
      <c r="AA44" s="704">
        <f t="shared" si="15"/>
        <v>1.0526315789473684</v>
      </c>
      <c r="AB44" s="704">
        <f t="shared" si="16"/>
        <v>1.0526315789473684</v>
      </c>
      <c r="AC44" s="704">
        <f t="shared" si="17"/>
        <v>1.0526315789473684</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9">
        <f t="shared" si="11"/>
        <v>111</v>
      </c>
      <c r="R45" s="705" t="s">
        <v>14</v>
      </c>
      <c r="S45" s="706">
        <f t="shared" si="12"/>
        <v>100</v>
      </c>
      <c r="T45" s="705" t="s">
        <v>14</v>
      </c>
      <c r="U45" s="706">
        <f t="shared" si="13"/>
        <v>100</v>
      </c>
      <c r="V45" s="705" t="s">
        <v>14</v>
      </c>
      <c r="W45" s="706">
        <f t="shared" si="14"/>
        <v>100</v>
      </c>
      <c r="X45" s="3451"/>
      <c r="Y45" s="3848"/>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9">
        <f t="shared" si="11"/>
        <v>111</v>
      </c>
      <c r="R46" s="705" t="s">
        <v>14</v>
      </c>
      <c r="S46" s="706">
        <f t="shared" si="12"/>
        <v>100</v>
      </c>
      <c r="T46" s="705" t="s">
        <v>14</v>
      </c>
      <c r="U46" s="706">
        <f t="shared" si="13"/>
        <v>100</v>
      </c>
      <c r="V46" s="705" t="s">
        <v>14</v>
      </c>
      <c r="W46" s="706">
        <f t="shared" si="14"/>
        <v>100</v>
      </c>
      <c r="X46" s="3451"/>
      <c r="Y46" s="3849"/>
      <c r="Z46" s="3452">
        <f t="shared" si="18"/>
        <v>111</v>
      </c>
      <c r="AA46" s="3450">
        <f t="shared" si="15"/>
        <v>1</v>
      </c>
      <c r="AB46" s="3450">
        <f t="shared" si="16"/>
        <v>1</v>
      </c>
      <c r="AC46" s="3450">
        <f t="shared" si="17"/>
        <v>1</v>
      </c>
    </row>
    <row r="47" spans="1:29" ht="15">
      <c r="A47" s="430" t="s">
        <v>1703</v>
      </c>
      <c r="B47" s="431"/>
      <c r="C47" s="1154" t="s">
        <v>0</v>
      </c>
      <c r="D47" s="1155"/>
      <c r="E47" s="1156">
        <f>租金案例!P4</f>
        <v>154.56</v>
      </c>
      <c r="F47" s="1157"/>
      <c r="G47" s="1158">
        <f>租金案例!P5</f>
        <v>158.02000000000001</v>
      </c>
      <c r="H47" s="1159"/>
      <c r="I47" s="1156">
        <f>租金案例!P7</f>
        <v>158.82</v>
      </c>
      <c r="J47" s="1159"/>
      <c r="K47" s="1912"/>
      <c r="L47" s="2721"/>
      <c r="M47" s="2722"/>
      <c r="N47" s="2713"/>
      <c r="O47" s="2722"/>
      <c r="P47" s="3850" t="str">
        <f>A47</f>
        <v>成交单价（元/平方米）</v>
      </c>
      <c r="Q47" s="3850"/>
      <c r="R47" s="3851">
        <f>E47</f>
        <v>154.56</v>
      </c>
      <c r="S47" s="3851"/>
      <c r="T47" s="3851">
        <f>G47</f>
        <v>158.02000000000001</v>
      </c>
      <c r="U47" s="3851"/>
      <c r="V47" s="3851">
        <f>I47</f>
        <v>158.82</v>
      </c>
      <c r="W47" s="3851"/>
      <c r="X47" s="690"/>
      <c r="Y47" s="712"/>
      <c r="Z47" s="690"/>
      <c r="AA47" s="690"/>
      <c r="AB47" s="690"/>
      <c r="AC47" s="690"/>
    </row>
    <row r="48" spans="1:29" ht="15.75" thickBot="1">
      <c r="A48" s="437" t="s">
        <v>1704</v>
      </c>
      <c r="B48" s="438"/>
      <c r="C48" s="1160">
        <f>R49</f>
        <v>179</v>
      </c>
      <c r="D48" s="2315" t="s">
        <v>2130</v>
      </c>
      <c r="E48" s="1161">
        <f>R48</f>
        <v>178.39</v>
      </c>
      <c r="F48" s="2316"/>
      <c r="G48" s="1160">
        <f>T48</f>
        <v>178.66</v>
      </c>
      <c r="H48" s="2316"/>
      <c r="I48" s="1161">
        <f>V48</f>
        <v>179.57</v>
      </c>
      <c r="J48" s="2316"/>
      <c r="K48" s="2317">
        <f>F48+H48+J48</f>
        <v>0</v>
      </c>
      <c r="L48" s="2721"/>
      <c r="M48" s="2722"/>
      <c r="N48" s="2722"/>
      <c r="O48" s="2722"/>
      <c r="P48" s="3850" t="str">
        <f>A48</f>
        <v>比较价值（元/平方米）</v>
      </c>
      <c r="Q48" s="3850"/>
      <c r="R48" s="3851">
        <f>IF(F1="售价",ROUND(PRODUCT(R47,AA7:AA46),2),ROUND(PRODUCT(R47,AA7:AA46),2))</f>
        <v>178.39</v>
      </c>
      <c r="S48" s="3851"/>
      <c r="T48" s="3851">
        <f>IF(F1="售价",ROUND(PRODUCT(T47,AB7:AB46),2),ROUND(PRODUCT(T47,AB7:AB46),2))</f>
        <v>178.66</v>
      </c>
      <c r="U48" s="3851"/>
      <c r="V48" s="3851">
        <f>IF(F1="售价",ROUND(PRODUCT(V47,AC7:AC46),2),ROUND(PRODUCT(V47,AC7:AC46),1))</f>
        <v>179.57</v>
      </c>
      <c r="W48" s="3851"/>
      <c r="X48" s="690"/>
      <c r="Y48" s="690"/>
      <c r="Z48" s="690"/>
      <c r="AA48" s="690"/>
      <c r="AB48" s="690"/>
      <c r="AC48" s="690"/>
    </row>
    <row r="49" spans="1:29" ht="15.75" thickBot="1">
      <c r="A49" s="3505" t="s">
        <v>3513</v>
      </c>
      <c r="B49" s="442"/>
      <c r="C49" s="1162">
        <f>R49</f>
        <v>179</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179</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0.15417960662525876</v>
      </c>
      <c r="F52" s="449" t="str">
        <f>IF(OR(E52&gt;=0.3,E52&lt;=-0.3),"超过30%","")</f>
        <v/>
      </c>
      <c r="G52" s="448">
        <f>IF(G47&lt;G48,G48/G47-1,G47/G48-1)</f>
        <v>0.13061637767371215</v>
      </c>
      <c r="H52" s="449" t="str">
        <f>IF(OR(G52&gt;=0.3,G52&lt;=-0.3),"超过30%","")</f>
        <v/>
      </c>
      <c r="I52" s="448">
        <f>IF(I47&lt;I48,I48/I47-1,I47/I48-1)</f>
        <v>0.13065105150484824</v>
      </c>
      <c r="J52" s="449" t="str">
        <f>IF(OR(I52&gt;=0.3,I52&lt;=-0.3),"超过30%","")</f>
        <v/>
      </c>
      <c r="K52" s="2727"/>
      <c r="L52" s="2723"/>
      <c r="M52" s="2722"/>
      <c r="N52" s="2722"/>
      <c r="O52" s="2722"/>
    </row>
    <row r="53" spans="1:29" ht="13.5" customHeight="1">
      <c r="A53" s="2722"/>
      <c r="B53" s="2722"/>
      <c r="C53" s="446" t="s">
        <v>1706</v>
      </c>
      <c r="D53" s="450"/>
      <c r="E53" s="448">
        <f>IF(E48&lt;G48,G48/E48-1,E48/G48-1)</f>
        <v>1.5135377543584738E-3</v>
      </c>
      <c r="F53" s="449" t="str">
        <f>IF(OR(E53&gt;=0.2,E53&lt;=-0.2),"超过20%","")</f>
        <v/>
      </c>
      <c r="G53" s="448">
        <f>IF(G48&lt;I48,I48/G48-1,G48/I48-1)</f>
        <v>5.0934736370760181E-3</v>
      </c>
      <c r="H53" s="449" t="str">
        <f>IF(OR(G53&gt;=0.2,G53&lt;=-0.2),"超过20%","")</f>
        <v/>
      </c>
      <c r="I53" s="448">
        <f>IF(I48&lt;E48,E48/I48-1,I48/E48-1)</f>
        <v>6.6147205560849187E-3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2.2386128364389357E-2</v>
      </c>
      <c r="F54" s="449" t="str">
        <f>IF(OR(E54&gt;=0.3,E54&lt;=-0.3),"超过30%","")</f>
        <v/>
      </c>
      <c r="G54" s="448">
        <f>IF(G47&lt;I47,I47/G47-1,G47/I47-1)</f>
        <v>5.0626502974306931E-3</v>
      </c>
      <c r="H54" s="449" t="str">
        <f>IF(OR(G54&gt;=0.3,G54&lt;=-0.3),"超过30%","")</f>
        <v/>
      </c>
      <c r="I54" s="448">
        <f>IF(I47&lt;E47,E47/I47-1,I47/E47-1)</f>
        <v>2.7562111801242128E-2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3504</v>
      </c>
      <c r="D65" s="3501" t="s">
        <v>3505</v>
      </c>
      <c r="E65" s="3501" t="s">
        <v>3506</v>
      </c>
      <c r="F65" s="3501" t="s">
        <v>3507</v>
      </c>
      <c r="G65" s="3501" t="s">
        <v>3508</v>
      </c>
      <c r="H65" s="3501" t="s">
        <v>3509</v>
      </c>
      <c r="I65" s="3501" t="s">
        <v>3510</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3522</v>
      </c>
      <c r="D88" s="3521" t="s">
        <v>3524</v>
      </c>
      <c r="E88" s="3521" t="s">
        <v>3562</v>
      </c>
      <c r="F88" s="3521" t="s">
        <v>3561</v>
      </c>
      <c r="G88" s="3521" t="s">
        <v>3578</v>
      </c>
      <c r="H88" s="3521" t="s">
        <v>3579</v>
      </c>
      <c r="I88" s="3547" t="s">
        <v>3580</v>
      </c>
      <c r="J88" s="3547" t="s">
        <v>3581</v>
      </c>
      <c r="K88" s="3521" t="s">
        <v>3564</v>
      </c>
      <c r="L88" s="3521" t="s">
        <v>3598</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3" t="s">
        <v>3532</v>
      </c>
      <c r="D90" s="3513" t="s">
        <v>3533</v>
      </c>
      <c r="E90" s="3513"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3535</v>
      </c>
      <c r="D100" s="3515" t="s">
        <v>3536</v>
      </c>
      <c r="E100" s="3516" t="s">
        <v>3537</v>
      </c>
      <c r="F100" s="3517" t="s">
        <v>3538</v>
      </c>
      <c r="G100" s="3517" t="s">
        <v>3539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3540</v>
      </c>
      <c r="D105" s="3511" t="s">
        <v>3541</v>
      </c>
      <c r="E105" s="3520" t="s">
        <v>3542</v>
      </c>
      <c r="F105" s="3520" t="s">
        <v>3543</v>
      </c>
      <c r="G105" s="3521" t="s">
        <v>3544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3545</v>
      </c>
      <c r="D109" s="3511" t="s">
        <v>3546</v>
      </c>
      <c r="E109" s="3511" t="s">
        <v>3547</v>
      </c>
      <c r="F109" s="3520"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3549</v>
      </c>
      <c r="D114" s="3511" t="s">
        <v>3550</v>
      </c>
      <c r="E114" s="3521" t="s">
        <v>3551</v>
      </c>
      <c r="F114" s="3521"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3514</v>
      </c>
      <c r="D116" s="3511" t="s">
        <v>3553</v>
      </c>
      <c r="E116" s="3511" t="s">
        <v>3554</v>
      </c>
      <c r="F116" s="3511" t="s">
        <v>3555</v>
      </c>
      <c r="G116" s="3511"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3557</v>
      </c>
      <c r="D118" s="3511" t="s">
        <v>3558</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3545</v>
      </c>
      <c r="D122" s="3511" t="s">
        <v>3546</v>
      </c>
      <c r="E122" s="3511" t="s">
        <v>3547</v>
      </c>
      <c r="F122" s="3520"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室内装饰装修</v>
      </c>
      <c r="C126" s="3938" t="s">
        <v>3612</v>
      </c>
      <c r="D126" s="3938" t="s">
        <v>3613</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95</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M10" sqref="M10"/>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55" t="s">
        <v>3515</v>
      </c>
      <c r="K1" s="3506" t="s">
        <v>3518</v>
      </c>
      <c r="L1" s="3506" t="s">
        <v>3516</v>
      </c>
      <c r="M1" s="3506" t="s">
        <v>3517</v>
      </c>
      <c r="N1" s="3506" t="s">
        <v>3519</v>
      </c>
      <c r="O1" s="3506" t="s">
        <v>3520</v>
      </c>
      <c r="P1" s="3506" t="s">
        <v>3526</v>
      </c>
      <c r="Q1" s="3506" t="s">
        <v>3521</v>
      </c>
      <c r="R1" s="3506" t="s">
        <v>3512</v>
      </c>
    </row>
    <row r="2" spans="10:18">
      <c r="J2" s="3855"/>
      <c r="K2" s="3508">
        <v>59.1</v>
      </c>
      <c r="L2" s="3508">
        <v>9000</v>
      </c>
      <c r="M2" s="3508">
        <f>ROUND(L2/K2,2)</f>
        <v>152.28</v>
      </c>
      <c r="N2" s="3508">
        <v>0.5</v>
      </c>
      <c r="O2" s="3508">
        <v>2.5</v>
      </c>
      <c r="P2" s="3508">
        <f>M2-N2-O2</f>
        <v>149.28</v>
      </c>
      <c r="Q2" s="3508" t="s">
        <v>3522</v>
      </c>
      <c r="R2" s="3508" t="s">
        <v>3527</v>
      </c>
    </row>
    <row r="3" spans="10:18">
      <c r="J3" s="3855"/>
      <c r="K3" s="3508">
        <v>53</v>
      </c>
      <c r="L3" s="3508">
        <v>8295</v>
      </c>
      <c r="M3" s="3508">
        <f t="shared" ref="M3:M7" si="0">ROUND(L3/K3,2)</f>
        <v>156.51</v>
      </c>
      <c r="N3" s="3508">
        <f>N2</f>
        <v>0.5</v>
      </c>
      <c r="O3" s="3508">
        <f>O2</f>
        <v>2.5</v>
      </c>
      <c r="P3" s="3508">
        <f t="shared" ref="P3:P7" si="1">M3-N3-O3</f>
        <v>153.51</v>
      </c>
      <c r="Q3" s="3508" t="s">
        <v>3524</v>
      </c>
      <c r="R3" s="3508" t="s">
        <v>3527</v>
      </c>
    </row>
    <row r="4" spans="10:18">
      <c r="J4" s="3855"/>
      <c r="K4" s="3510">
        <v>57.12</v>
      </c>
      <c r="L4" s="3510">
        <v>9000</v>
      </c>
      <c r="M4" s="3510">
        <f t="shared" si="0"/>
        <v>157.56</v>
      </c>
      <c r="N4" s="3510">
        <f>N2</f>
        <v>0.5</v>
      </c>
      <c r="O4" s="3510">
        <f>O2</f>
        <v>2.5</v>
      </c>
      <c r="P4" s="3510">
        <f t="shared" si="1"/>
        <v>154.56</v>
      </c>
      <c r="Q4" s="3508" t="s">
        <v>3524</v>
      </c>
      <c r="R4" s="3508" t="s">
        <v>3525</v>
      </c>
    </row>
    <row r="5" spans="10:18">
      <c r="J5" s="3855"/>
      <c r="K5" s="3510">
        <v>59</v>
      </c>
      <c r="L5" s="3510">
        <v>9500</v>
      </c>
      <c r="M5" s="3510">
        <f t="shared" si="0"/>
        <v>161.02000000000001</v>
      </c>
      <c r="N5" s="3510">
        <f>N2</f>
        <v>0.5</v>
      </c>
      <c r="O5" s="3510">
        <f>O2</f>
        <v>2.5</v>
      </c>
      <c r="P5" s="3510">
        <f t="shared" si="1"/>
        <v>158.02000000000001</v>
      </c>
      <c r="Q5" s="3508" t="s">
        <v>3524</v>
      </c>
      <c r="R5" s="3508" t="s">
        <v>3528</v>
      </c>
    </row>
    <row r="6" spans="10:18">
      <c r="J6" s="3855"/>
      <c r="K6" s="3508">
        <v>60.7</v>
      </c>
      <c r="L6" s="3508">
        <v>9000</v>
      </c>
      <c r="M6" s="3508">
        <f t="shared" si="0"/>
        <v>148.27000000000001</v>
      </c>
      <c r="N6" s="3508">
        <f>N2</f>
        <v>0.5</v>
      </c>
      <c r="O6" s="3508">
        <f>O2</f>
        <v>2.5</v>
      </c>
      <c r="P6" s="3508">
        <f t="shared" si="1"/>
        <v>145.27000000000001</v>
      </c>
      <c r="Q6" s="3508" t="s">
        <v>3522</v>
      </c>
      <c r="R6" s="3508" t="s">
        <v>3529</v>
      </c>
    </row>
    <row r="7" spans="10:18">
      <c r="J7" s="3855"/>
      <c r="K7" s="3510">
        <v>55</v>
      </c>
      <c r="L7" s="3510">
        <v>8900</v>
      </c>
      <c r="M7" s="3510">
        <f t="shared" si="0"/>
        <v>161.82</v>
      </c>
      <c r="N7" s="3510">
        <f>N2</f>
        <v>0.5</v>
      </c>
      <c r="O7" s="3510">
        <f>O2</f>
        <v>2.5</v>
      </c>
      <c r="P7" s="3510">
        <f t="shared" si="1"/>
        <v>158.82</v>
      </c>
      <c r="Q7" s="3508" t="s">
        <v>3524</v>
      </c>
      <c r="R7" s="3508" t="s">
        <v>3528</v>
      </c>
    </row>
    <row r="12" spans="10:18">
      <c r="M12" s="3532" t="s">
        <v>3569</v>
      </c>
      <c r="N12" s="3532" t="s">
        <v>3570</v>
      </c>
      <c r="O12" s="3532" t="s">
        <v>3571</v>
      </c>
      <c r="P12" s="3532" t="s">
        <v>3572</v>
      </c>
    </row>
    <row r="13" spans="10:18">
      <c r="M13" s="3533">
        <v>1</v>
      </c>
      <c r="N13" s="3533" t="s">
        <v>3573</v>
      </c>
      <c r="O13" s="3533" t="s">
        <v>3574</v>
      </c>
      <c r="P13" s="3533" t="s">
        <v>3575</v>
      </c>
    </row>
    <row r="14" spans="10:18">
      <c r="M14" s="3533">
        <v>2</v>
      </c>
      <c r="N14" s="3533" t="s">
        <v>3576</v>
      </c>
      <c r="O14" s="3533" t="s">
        <v>3574</v>
      </c>
      <c r="P14" s="3533" t="s">
        <v>3577</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58.6</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44963</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7489900</v>
      </c>
      <c r="C5" s="2509">
        <f>E14</f>
        <v>127814</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58.6</v>
      </c>
      <c r="C14" s="2515">
        <v>0</v>
      </c>
      <c r="D14" s="2515">
        <f>收益法倒推!C3</f>
        <v>7489900</v>
      </c>
      <c r="E14" s="2515">
        <f>'比较法-住宅'!C48</f>
        <v>127814</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36"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36"/>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36"/>
      <c r="AC6" s="3810"/>
    </row>
    <row r="7" spans="1:29" s="108" customFormat="1" ht="15.75" thickBot="1">
      <c r="A7" s="362" t="s">
        <v>1674</v>
      </c>
      <c r="B7" s="363"/>
      <c r="C7" s="364">
        <f>'数据-取费表'!B2</f>
        <v>44963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41" t="s">
        <v>1686</v>
      </c>
      <c r="Q15" s="1352" t="str">
        <f t="shared" si="6"/>
        <v>商业繁华度</v>
      </c>
      <c r="R15" s="705" t="s">
        <v>14</v>
      </c>
      <c r="S15" s="706">
        <f t="shared" si="0"/>
        <v>100</v>
      </c>
      <c r="T15" s="705" t="s">
        <v>14</v>
      </c>
      <c r="U15" s="706">
        <f t="shared" si="1"/>
        <v>100</v>
      </c>
      <c r="V15" s="705" t="s">
        <v>14</v>
      </c>
      <c r="W15" s="706">
        <f t="shared" si="2"/>
        <v>100</v>
      </c>
      <c r="X15" s="1355"/>
      <c r="Y15" s="3843"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42"/>
      <c r="Q22" s="1352"/>
      <c r="R22" s="705"/>
      <c r="S22" s="706"/>
      <c r="T22" s="705"/>
      <c r="U22" s="706"/>
      <c r="V22" s="705"/>
      <c r="W22" s="706"/>
      <c r="X22" s="1355"/>
      <c r="Y22" s="384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42"/>
      <c r="Q23" s="1352" t="str">
        <f>B23</f>
        <v>自然及人文环境</v>
      </c>
      <c r="R23" s="705" t="s">
        <v>14</v>
      </c>
      <c r="S23" s="706">
        <f>F23</f>
        <v>100</v>
      </c>
      <c r="T23" s="705" t="s">
        <v>14</v>
      </c>
      <c r="U23" s="706">
        <f>H23</f>
        <v>100</v>
      </c>
      <c r="V23" s="705" t="s">
        <v>14</v>
      </c>
      <c r="W23" s="706">
        <f>J23</f>
        <v>100</v>
      </c>
      <c r="X23" s="1355"/>
      <c r="Y23" s="384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42"/>
      <c r="Q25" s="1352" t="str">
        <f t="shared" ref="Q25:Q46" si="11">B25</f>
        <v>临街状况</v>
      </c>
      <c r="R25" s="705" t="s">
        <v>14</v>
      </c>
      <c r="S25" s="706">
        <f>F25</f>
        <v>100</v>
      </c>
      <c r="T25" s="705" t="s">
        <v>14</v>
      </c>
      <c r="U25" s="706">
        <f>H25</f>
        <v>100</v>
      </c>
      <c r="V25" s="705" t="s">
        <v>14</v>
      </c>
      <c r="W25" s="706">
        <f>J25</f>
        <v>100</v>
      </c>
      <c r="X25" s="1355"/>
      <c r="Y25" s="3844"/>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42"/>
      <c r="Q26" s="1352" t="str">
        <f t="shared" si="11"/>
        <v>平面位置/可视性</v>
      </c>
      <c r="R26" s="705" t="s">
        <v>14</v>
      </c>
      <c r="S26" s="706">
        <f>F26</f>
        <v>100</v>
      </c>
      <c r="T26" s="705" t="s">
        <v>14</v>
      </c>
      <c r="U26" s="706">
        <f>H26</f>
        <v>100</v>
      </c>
      <c r="V26" s="705" t="s">
        <v>14</v>
      </c>
      <c r="W26" s="706">
        <f>J26</f>
        <v>100</v>
      </c>
      <c r="X26" s="1355"/>
      <c r="Y26" s="3844"/>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42"/>
      <c r="Q27" s="1343" t="str">
        <f t="shared" si="11"/>
        <v>人流量</v>
      </c>
      <c r="R27" s="701" t="s">
        <v>14</v>
      </c>
      <c r="S27" s="702">
        <f>F27</f>
        <v>100</v>
      </c>
      <c r="T27" s="701" t="s">
        <v>14</v>
      </c>
      <c r="U27" s="702">
        <f>H27</f>
        <v>100</v>
      </c>
      <c r="V27" s="701" t="s">
        <v>14</v>
      </c>
      <c r="W27" s="702">
        <f>J27</f>
        <v>100</v>
      </c>
      <c r="X27" s="703"/>
      <c r="Y27" s="3844"/>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2"/>
      <c r="Q29" s="1352">
        <f t="shared" si="11"/>
        <v>111</v>
      </c>
      <c r="R29" s="705" t="s">
        <v>14</v>
      </c>
      <c r="S29" s="706">
        <f t="shared" si="12"/>
        <v>100</v>
      </c>
      <c r="T29" s="705" t="s">
        <v>14</v>
      </c>
      <c r="U29" s="706">
        <f t="shared" si="13"/>
        <v>100</v>
      </c>
      <c r="V29" s="705" t="s">
        <v>14</v>
      </c>
      <c r="W29" s="706">
        <f t="shared" si="14"/>
        <v>100</v>
      </c>
      <c r="X29" s="1355"/>
      <c r="Y29" s="38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45" t="s">
        <v>1691</v>
      </c>
      <c r="Q32" s="1352" t="str">
        <f t="shared" si="11"/>
        <v>商业类型</v>
      </c>
      <c r="R32" s="705" t="s">
        <v>14</v>
      </c>
      <c r="S32" s="706">
        <f t="shared" si="12"/>
        <v>100</v>
      </c>
      <c r="T32" s="705" t="s">
        <v>14</v>
      </c>
      <c r="U32" s="706">
        <f t="shared" si="13"/>
        <v>100</v>
      </c>
      <c r="V32" s="705" t="s">
        <v>14</v>
      </c>
      <c r="W32" s="706">
        <f t="shared" si="14"/>
        <v>100</v>
      </c>
      <c r="X32" s="1355"/>
      <c r="Y32" s="3848"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46"/>
      <c r="Q33" s="707" t="str">
        <f t="shared" si="11"/>
        <v>项目建筑规模</v>
      </c>
      <c r="R33" s="708" t="s">
        <v>14</v>
      </c>
      <c r="S33" s="709" t="e">
        <f t="shared" si="12"/>
        <v>#N/A</v>
      </c>
      <c r="T33" s="708" t="s">
        <v>14</v>
      </c>
      <c r="U33" s="709" t="e">
        <f t="shared" si="13"/>
        <v>#N/A</v>
      </c>
      <c r="V33" s="708" t="s">
        <v>14</v>
      </c>
      <c r="W33" s="709" t="e">
        <f t="shared" si="14"/>
        <v>#N/A</v>
      </c>
      <c r="X33" s="710"/>
      <c r="Y33" s="3848"/>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46"/>
      <c r="Q34" s="1352" t="str">
        <f t="shared" si="11"/>
        <v>建筑结构</v>
      </c>
      <c r="R34" s="705" t="s">
        <v>14</v>
      </c>
      <c r="S34" s="706">
        <f t="shared" si="12"/>
        <v>100</v>
      </c>
      <c r="T34" s="705" t="s">
        <v>14</v>
      </c>
      <c r="U34" s="706">
        <f t="shared" si="13"/>
        <v>100</v>
      </c>
      <c r="V34" s="705" t="s">
        <v>14</v>
      </c>
      <c r="W34" s="706">
        <f t="shared" si="14"/>
        <v>100</v>
      </c>
      <c r="X34" s="1355"/>
      <c r="Y34" s="3848"/>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46"/>
      <c r="Q35" s="1352" t="str">
        <f t="shared" si="11"/>
        <v>公共部分装修</v>
      </c>
      <c r="R35" s="705" t="s">
        <v>14</v>
      </c>
      <c r="S35" s="706">
        <f t="shared" si="12"/>
        <v>100</v>
      </c>
      <c r="T35" s="705" t="s">
        <v>14</v>
      </c>
      <c r="U35" s="706">
        <f t="shared" si="13"/>
        <v>100</v>
      </c>
      <c r="V35" s="705" t="s">
        <v>14</v>
      </c>
      <c r="W35" s="706">
        <f t="shared" si="14"/>
        <v>100</v>
      </c>
      <c r="X35" s="1355"/>
      <c r="Y35" s="3848"/>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46"/>
      <c r="Q36" s="1352" t="str">
        <f t="shared" si="11"/>
        <v>成新度</v>
      </c>
      <c r="R36" s="705" t="s">
        <v>14</v>
      </c>
      <c r="S36" s="706" t="e">
        <f t="shared" si="12"/>
        <v>#N/A</v>
      </c>
      <c r="T36" s="705" t="s">
        <v>14</v>
      </c>
      <c r="U36" s="706" t="e">
        <f t="shared" si="13"/>
        <v>#N/A</v>
      </c>
      <c r="V36" s="705" t="s">
        <v>14</v>
      </c>
      <c r="W36" s="706" t="e">
        <f t="shared" si="14"/>
        <v>#N/A</v>
      </c>
      <c r="X36" s="1355"/>
      <c r="Y36" s="3848"/>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46"/>
      <c r="Q37" s="1343" t="str">
        <f t="shared" si="11"/>
        <v>市政基础设施</v>
      </c>
      <c r="R37" s="701" t="s">
        <v>14</v>
      </c>
      <c r="S37" s="702">
        <f t="shared" si="12"/>
        <v>100</v>
      </c>
      <c r="T37" s="701" t="s">
        <v>14</v>
      </c>
      <c r="U37" s="702">
        <f t="shared" si="13"/>
        <v>100</v>
      </c>
      <c r="V37" s="701" t="s">
        <v>14</v>
      </c>
      <c r="W37" s="702">
        <f t="shared" si="14"/>
        <v>100</v>
      </c>
      <c r="X37" s="703"/>
      <c r="Y37" s="3848"/>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46" t="s">
        <v>1691</v>
      </c>
      <c r="Q38" s="1352" t="str">
        <f t="shared" si="11"/>
        <v>业态</v>
      </c>
      <c r="R38" s="705" t="s">
        <v>14</v>
      </c>
      <c r="S38" s="706">
        <f t="shared" si="12"/>
        <v>100</v>
      </c>
      <c r="T38" s="705" t="s">
        <v>14</v>
      </c>
      <c r="U38" s="706">
        <f t="shared" si="13"/>
        <v>100</v>
      </c>
      <c r="V38" s="705" t="s">
        <v>14</v>
      </c>
      <c r="W38" s="706">
        <f t="shared" si="14"/>
        <v>100</v>
      </c>
      <c r="X38" s="1355"/>
      <c r="Y38" s="3848"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46"/>
      <c r="Q39" s="1352" t="str">
        <f t="shared" si="11"/>
        <v>层高</v>
      </c>
      <c r="R39" s="705" t="s">
        <v>14</v>
      </c>
      <c r="S39" s="706">
        <f t="shared" si="12"/>
        <v>100</v>
      </c>
      <c r="T39" s="705" t="s">
        <v>14</v>
      </c>
      <c r="U39" s="706">
        <f t="shared" si="13"/>
        <v>100</v>
      </c>
      <c r="V39" s="705" t="s">
        <v>14</v>
      </c>
      <c r="W39" s="706">
        <f t="shared" si="14"/>
        <v>100</v>
      </c>
      <c r="X39" s="1355"/>
      <c r="Y39" s="3848"/>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6"/>
      <c r="Q40" s="1352" t="str">
        <f t="shared" si="11"/>
        <v>单套建筑面积</v>
      </c>
      <c r="R40" s="705" t="s">
        <v>14</v>
      </c>
      <c r="S40" s="706">
        <f t="shared" si="12"/>
        <v>100</v>
      </c>
      <c r="T40" s="705" t="s">
        <v>14</v>
      </c>
      <c r="U40" s="706">
        <f t="shared" si="13"/>
        <v>100</v>
      </c>
      <c r="V40" s="705" t="s">
        <v>14</v>
      </c>
      <c r="W40" s="706">
        <f t="shared" si="14"/>
        <v>100</v>
      </c>
      <c r="X40" s="1355"/>
      <c r="Y40" s="3848"/>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6"/>
      <c r="Q41" s="707" t="str">
        <f t="shared" si="11"/>
        <v>进深比</v>
      </c>
      <c r="R41" s="708" t="s">
        <v>14</v>
      </c>
      <c r="S41" s="709">
        <f t="shared" si="12"/>
        <v>100</v>
      </c>
      <c r="T41" s="708" t="s">
        <v>14</v>
      </c>
      <c r="U41" s="709">
        <f t="shared" si="13"/>
        <v>100</v>
      </c>
      <c r="V41" s="708" t="s">
        <v>14</v>
      </c>
      <c r="W41" s="709">
        <f t="shared" si="14"/>
        <v>100</v>
      </c>
      <c r="X41" s="710"/>
      <c r="Y41" s="3848"/>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46"/>
      <c r="Q42" s="1352" t="str">
        <f t="shared" si="11"/>
        <v>内部装修</v>
      </c>
      <c r="R42" s="705" t="s">
        <v>14</v>
      </c>
      <c r="S42" s="706">
        <f t="shared" si="12"/>
        <v>100</v>
      </c>
      <c r="T42" s="705" t="s">
        <v>14</v>
      </c>
      <c r="U42" s="706">
        <f t="shared" si="13"/>
        <v>100</v>
      </c>
      <c r="V42" s="705" t="s">
        <v>14</v>
      </c>
      <c r="W42" s="706">
        <f t="shared" si="14"/>
        <v>100</v>
      </c>
      <c r="X42" s="1355"/>
      <c r="Y42" s="3848"/>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46"/>
      <c r="Q43" s="1352" t="str">
        <f t="shared" si="11"/>
        <v>内部装修维护情况</v>
      </c>
      <c r="R43" s="705" t="s">
        <v>14</v>
      </c>
      <c r="S43" s="706">
        <f t="shared" si="12"/>
        <v>100</v>
      </c>
      <c r="T43" s="705" t="s">
        <v>14</v>
      </c>
      <c r="U43" s="706">
        <f t="shared" si="13"/>
        <v>100</v>
      </c>
      <c r="V43" s="705" t="s">
        <v>14</v>
      </c>
      <c r="W43" s="706">
        <f t="shared" si="14"/>
        <v>100</v>
      </c>
      <c r="X43" s="1355"/>
      <c r="Y43" s="38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6"/>
      <c r="Q44" s="1343">
        <f t="shared" si="11"/>
        <v>111</v>
      </c>
      <c r="R44" s="701" t="s">
        <v>14</v>
      </c>
      <c r="S44" s="702">
        <f t="shared" si="12"/>
        <v>100</v>
      </c>
      <c r="T44" s="701" t="s">
        <v>14</v>
      </c>
      <c r="U44" s="702">
        <f t="shared" si="13"/>
        <v>100</v>
      </c>
      <c r="V44" s="701" t="s">
        <v>14</v>
      </c>
      <c r="W44" s="702">
        <f t="shared" si="14"/>
        <v>100</v>
      </c>
      <c r="X44" s="703"/>
      <c r="Y44" s="38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6"/>
      <c r="Q45" s="1352">
        <f t="shared" si="11"/>
        <v>111</v>
      </c>
      <c r="R45" s="705" t="s">
        <v>14</v>
      </c>
      <c r="S45" s="706">
        <f t="shared" si="12"/>
        <v>100</v>
      </c>
      <c r="T45" s="705" t="s">
        <v>14</v>
      </c>
      <c r="U45" s="706">
        <f t="shared" si="13"/>
        <v>100</v>
      </c>
      <c r="V45" s="705" t="s">
        <v>14</v>
      </c>
      <c r="W45" s="706">
        <f t="shared" si="14"/>
        <v>100</v>
      </c>
      <c r="X45" s="1355"/>
      <c r="Y45" s="38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7"/>
      <c r="Q46" s="1352">
        <f t="shared" si="11"/>
        <v>111</v>
      </c>
      <c r="R46" s="705" t="s">
        <v>14</v>
      </c>
      <c r="S46" s="706">
        <f t="shared" si="12"/>
        <v>100</v>
      </c>
      <c r="T46" s="705" t="s">
        <v>14</v>
      </c>
      <c r="U46" s="706">
        <f t="shared" si="13"/>
        <v>100</v>
      </c>
      <c r="V46" s="705" t="s">
        <v>14</v>
      </c>
      <c r="W46" s="706">
        <f t="shared" si="14"/>
        <v>100</v>
      </c>
      <c r="X46" s="1355"/>
      <c r="Y46" s="3849"/>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0" t="str">
        <f>A47</f>
        <v>成交单价（元/平方米）</v>
      </c>
      <c r="Q47" s="3850"/>
      <c r="R47" s="3836">
        <f>E47</f>
        <v>0</v>
      </c>
      <c r="S47" s="3836"/>
      <c r="T47" s="3836">
        <f>G47</f>
        <v>0</v>
      </c>
      <c r="U47" s="3836"/>
      <c r="V47" s="3836">
        <f>I47</f>
        <v>0</v>
      </c>
      <c r="W47" s="3836"/>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0" t="str">
        <f>A48</f>
        <v>比较价值（元/平方米）</v>
      </c>
      <c r="Q48" s="3850"/>
      <c r="R48" s="3851" t="e">
        <f>IF(F1="售价",ROUND(PRODUCT(R47,AA7:AA46),0),ROUND(PRODUCT(R47,AA7:AA46),1))</f>
        <v>#DIV/0!</v>
      </c>
      <c r="S48" s="3851"/>
      <c r="T48" s="3851" t="e">
        <f>IF(F1="售价",ROUND(PRODUCT(T47,AB7:AB46),0),ROUND(PRODUCT(T47,AB7:AB46),1))</f>
        <v>#DIV/0!</v>
      </c>
      <c r="U48" s="3851"/>
      <c r="V48" s="3851" t="e">
        <f>IF(F1="售价",ROUND(PRODUCT(V47,AC7:AC46),0),ROUND(PRODUCT(V47,AC7:AC46),1))</f>
        <v>#DIV/0!</v>
      </c>
      <c r="W48" s="3851"/>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62" t="s">
        <v>1767</v>
      </c>
      <c r="Q4" s="3863"/>
      <c r="R4" s="3857" t="s">
        <v>1763</v>
      </c>
      <c r="S4" s="3858"/>
      <c r="T4" s="3857" t="s">
        <v>1764</v>
      </c>
      <c r="U4" s="3858"/>
      <c r="V4" s="3866" t="s">
        <v>1765</v>
      </c>
      <c r="W4" s="3866"/>
      <c r="X4" s="1956"/>
      <c r="Y4" s="3857" t="s">
        <v>1767</v>
      </c>
      <c r="Z4" s="3858"/>
      <c r="AA4" s="3856" t="s">
        <v>1763</v>
      </c>
      <c r="AB4" s="3856" t="s">
        <v>1764</v>
      </c>
      <c r="AC4" s="3859" t="s">
        <v>1765</v>
      </c>
    </row>
    <row r="5" spans="1:29" ht="15">
      <c r="A5" s="358"/>
      <c r="B5" s="359"/>
      <c r="C5" s="3829" t="s">
        <v>1668</v>
      </c>
      <c r="D5" s="3826"/>
      <c r="E5" s="3827" t="s">
        <v>1669</v>
      </c>
      <c r="F5" s="3828"/>
      <c r="G5" s="3829" t="s">
        <v>1670</v>
      </c>
      <c r="H5" s="3826"/>
      <c r="I5" s="3829" t="s">
        <v>1671</v>
      </c>
      <c r="J5" s="3826"/>
      <c r="K5" s="559"/>
      <c r="L5" s="2712"/>
      <c r="M5" s="2713"/>
      <c r="N5" s="2713"/>
      <c r="O5" s="2713"/>
      <c r="P5" s="3864"/>
      <c r="Q5" s="3818"/>
      <c r="R5" s="3823"/>
      <c r="S5" s="3824"/>
      <c r="T5" s="3823"/>
      <c r="U5" s="3824"/>
      <c r="V5" s="3836"/>
      <c r="W5" s="3836"/>
      <c r="X5" s="1355"/>
      <c r="Y5" s="3823"/>
      <c r="Z5" s="3824"/>
      <c r="AA5" s="3809"/>
      <c r="AB5" s="3809"/>
      <c r="AC5" s="3860"/>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65"/>
      <c r="Q6" s="3820"/>
      <c r="R6" s="3823"/>
      <c r="S6" s="3824"/>
      <c r="T6" s="3834"/>
      <c r="U6" s="3835"/>
      <c r="V6" s="3836"/>
      <c r="W6" s="3836"/>
      <c r="X6" s="1355"/>
      <c r="Y6" s="3834"/>
      <c r="Z6" s="3835"/>
      <c r="AA6" s="3810"/>
      <c r="AB6" s="3810"/>
      <c r="AC6" s="3861"/>
    </row>
    <row r="7" spans="1:29" s="108" customFormat="1" ht="15.75" thickBot="1">
      <c r="A7" s="362" t="s">
        <v>1674</v>
      </c>
      <c r="B7" s="363"/>
      <c r="C7" s="364">
        <f>'数据-取费表'!B2</f>
        <v>44963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6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67" t="s">
        <v>1678</v>
      </c>
      <c r="Q8" s="3839"/>
      <c r="R8" s="701" t="s">
        <v>14</v>
      </c>
      <c r="S8" s="702">
        <f t="shared" si="0"/>
        <v>100</v>
      </c>
      <c r="T8" s="701" t="s">
        <v>14</v>
      </c>
      <c r="U8" s="702">
        <f t="shared" si="1"/>
        <v>100</v>
      </c>
      <c r="V8" s="701" t="s">
        <v>14</v>
      </c>
      <c r="W8" s="702">
        <f t="shared" si="2"/>
        <v>100</v>
      </c>
      <c r="X8" s="703"/>
      <c r="Y8" s="3837" t="s">
        <v>1678</v>
      </c>
      <c r="Z8" s="3839"/>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0"/>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1" t="s">
        <v>1686</v>
      </c>
      <c r="Q15" s="1352" t="str">
        <f t="shared" si="6"/>
        <v>办公集聚程度</v>
      </c>
      <c r="R15" s="705" t="s">
        <v>14</v>
      </c>
      <c r="S15" s="706">
        <f t="shared" si="0"/>
        <v>100</v>
      </c>
      <c r="T15" s="705" t="s">
        <v>14</v>
      </c>
      <c r="U15" s="706">
        <f t="shared" si="1"/>
        <v>100</v>
      </c>
      <c r="V15" s="705" t="s">
        <v>14</v>
      </c>
      <c r="W15" s="706">
        <f t="shared" si="2"/>
        <v>100</v>
      </c>
      <c r="X15" s="1355"/>
      <c r="Y15" s="384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2"/>
      <c r="Q22" s="1352"/>
      <c r="R22" s="705"/>
      <c r="S22" s="706"/>
      <c r="T22" s="705"/>
      <c r="U22" s="706"/>
      <c r="V22" s="705"/>
      <c r="W22" s="706"/>
      <c r="X22" s="1355"/>
      <c r="Y22" s="384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2"/>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2"/>
      <c r="Q25" s="1352" t="str">
        <f>B25</f>
        <v>毗邻道路的类型与等级</v>
      </c>
      <c r="R25" s="705" t="s">
        <v>14</v>
      </c>
      <c r="S25" s="706">
        <f>F25</f>
        <v>100</v>
      </c>
      <c r="T25" s="705" t="s">
        <v>14</v>
      </c>
      <c r="U25" s="706">
        <f>H25</f>
        <v>100</v>
      </c>
      <c r="V25" s="705" t="s">
        <v>14</v>
      </c>
      <c r="W25" s="706">
        <f>J25</f>
        <v>100</v>
      </c>
      <c r="X25" s="1355"/>
      <c r="Y25" s="384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2"/>
      <c r="Q26" s="1352"/>
      <c r="R26" s="705"/>
      <c r="S26" s="706"/>
      <c r="T26" s="705"/>
      <c r="U26" s="706"/>
      <c r="V26" s="705"/>
      <c r="W26" s="706"/>
      <c r="X26" s="1355"/>
      <c r="Y26" s="384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2"/>
      <c r="Q27" s="1352" t="str">
        <f t="shared" ref="Q27:Q47" si="11">B27</f>
        <v>楼层</v>
      </c>
      <c r="R27" s="705" t="s">
        <v>14</v>
      </c>
      <c r="S27" s="706">
        <f>F27</f>
        <v>100</v>
      </c>
      <c r="T27" s="705" t="s">
        <v>14</v>
      </c>
      <c r="U27" s="706">
        <f>H27</f>
        <v>100</v>
      </c>
      <c r="V27" s="705" t="s">
        <v>14</v>
      </c>
      <c r="W27" s="706">
        <f>J27</f>
        <v>100</v>
      </c>
      <c r="X27" s="1355"/>
      <c r="Y27" s="384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2"/>
      <c r="Q28" s="1343" t="str">
        <f t="shared" si="11"/>
        <v>朝向</v>
      </c>
      <c r="R28" s="701" t="s">
        <v>14</v>
      </c>
      <c r="S28" s="702">
        <f>F28</f>
        <v>100</v>
      </c>
      <c r="T28" s="701" t="s">
        <v>14</v>
      </c>
      <c r="U28" s="702">
        <f>H28</f>
        <v>100</v>
      </c>
      <c r="V28" s="701" t="s">
        <v>14</v>
      </c>
      <c r="W28" s="702">
        <f>J28</f>
        <v>100</v>
      </c>
      <c r="X28" s="703"/>
      <c r="Y28" s="384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2"/>
      <c r="Q29" s="1352">
        <f t="shared" si="11"/>
        <v>111</v>
      </c>
      <c r="R29" s="705" t="s">
        <v>14</v>
      </c>
      <c r="S29" s="706">
        <f t="shared" ref="S29:S47" si="12">F29</f>
        <v>100</v>
      </c>
      <c r="T29" s="705" t="s">
        <v>14</v>
      </c>
      <c r="U29" s="706">
        <f t="shared" ref="U29:U47" si="13">H29</f>
        <v>100</v>
      </c>
      <c r="V29" s="705" t="s">
        <v>14</v>
      </c>
      <c r="W29" s="706">
        <f t="shared" ref="W29:W47" si="14">J29</f>
        <v>100</v>
      </c>
      <c r="X29" s="1355"/>
      <c r="Y29" s="384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2"/>
      <c r="Q32" s="1352">
        <f t="shared" si="11"/>
        <v>111</v>
      </c>
      <c r="R32" s="705" t="s">
        <v>14</v>
      </c>
      <c r="S32" s="706">
        <f t="shared" si="12"/>
        <v>100</v>
      </c>
      <c r="T32" s="705" t="s">
        <v>14</v>
      </c>
      <c r="U32" s="706">
        <f t="shared" si="13"/>
        <v>100</v>
      </c>
      <c r="V32" s="705" t="s">
        <v>14</v>
      </c>
      <c r="W32" s="706">
        <f t="shared" si="14"/>
        <v>100</v>
      </c>
      <c r="X32" s="1355"/>
      <c r="Y32" s="384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5" t="s">
        <v>1691</v>
      </c>
      <c r="Q33" s="1352" t="str">
        <f t="shared" si="11"/>
        <v>建筑类型</v>
      </c>
      <c r="R33" s="705" t="s">
        <v>14</v>
      </c>
      <c r="S33" s="706">
        <f t="shared" si="12"/>
        <v>100</v>
      </c>
      <c r="T33" s="705" t="s">
        <v>14</v>
      </c>
      <c r="U33" s="706">
        <f t="shared" si="13"/>
        <v>100</v>
      </c>
      <c r="V33" s="705" t="s">
        <v>14</v>
      </c>
      <c r="W33" s="706">
        <f t="shared" si="14"/>
        <v>100</v>
      </c>
      <c r="X33" s="1355"/>
      <c r="Y33" s="384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6"/>
      <c r="Q34" s="707" t="str">
        <f t="shared" si="11"/>
        <v>项目建筑规模</v>
      </c>
      <c r="R34" s="708" t="s">
        <v>14</v>
      </c>
      <c r="S34" s="709" t="e">
        <f t="shared" si="12"/>
        <v>#N/A</v>
      </c>
      <c r="T34" s="708" t="s">
        <v>14</v>
      </c>
      <c r="U34" s="709" t="e">
        <f t="shared" si="13"/>
        <v>#N/A</v>
      </c>
      <c r="V34" s="708" t="s">
        <v>14</v>
      </c>
      <c r="W34" s="709" t="e">
        <f t="shared" si="14"/>
        <v>#N/A</v>
      </c>
      <c r="X34" s="710"/>
      <c r="Y34" s="384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6"/>
      <c r="Q35" s="1352" t="str">
        <f t="shared" si="11"/>
        <v>建筑结构</v>
      </c>
      <c r="R35" s="705" t="s">
        <v>14</v>
      </c>
      <c r="S35" s="706">
        <f t="shared" si="12"/>
        <v>100</v>
      </c>
      <c r="T35" s="705" t="s">
        <v>14</v>
      </c>
      <c r="U35" s="706">
        <f t="shared" si="13"/>
        <v>100</v>
      </c>
      <c r="V35" s="705" t="s">
        <v>14</v>
      </c>
      <c r="W35" s="706">
        <f t="shared" si="14"/>
        <v>100</v>
      </c>
      <c r="X35" s="1355"/>
      <c r="Y35" s="384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6"/>
      <c r="Q36" s="1352" t="str">
        <f t="shared" si="11"/>
        <v>公共部分装修</v>
      </c>
      <c r="R36" s="705" t="s">
        <v>14</v>
      </c>
      <c r="S36" s="706">
        <f t="shared" si="12"/>
        <v>100</v>
      </c>
      <c r="T36" s="705" t="s">
        <v>14</v>
      </c>
      <c r="U36" s="706">
        <f t="shared" si="13"/>
        <v>100</v>
      </c>
      <c r="V36" s="705" t="s">
        <v>14</v>
      </c>
      <c r="W36" s="706">
        <f t="shared" si="14"/>
        <v>100</v>
      </c>
      <c r="X36" s="1355"/>
      <c r="Y36" s="384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6"/>
      <c r="Q37" s="1352" t="str">
        <f t="shared" si="11"/>
        <v>成新度</v>
      </c>
      <c r="R37" s="705" t="s">
        <v>14</v>
      </c>
      <c r="S37" s="706" t="e">
        <f t="shared" si="12"/>
        <v>#N/A</v>
      </c>
      <c r="T37" s="705" t="s">
        <v>14</v>
      </c>
      <c r="U37" s="706" t="e">
        <f t="shared" si="13"/>
        <v>#N/A</v>
      </c>
      <c r="V37" s="705" t="s">
        <v>14</v>
      </c>
      <c r="W37" s="706" t="e">
        <f t="shared" si="14"/>
        <v>#N/A</v>
      </c>
      <c r="X37" s="1355"/>
      <c r="Y37" s="384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6"/>
      <c r="Q38" s="1343" t="str">
        <f t="shared" si="11"/>
        <v>写字楼等级</v>
      </c>
      <c r="R38" s="701" t="s">
        <v>14</v>
      </c>
      <c r="S38" s="702">
        <f t="shared" si="12"/>
        <v>100</v>
      </c>
      <c r="T38" s="701" t="s">
        <v>14</v>
      </c>
      <c r="U38" s="702">
        <f t="shared" si="13"/>
        <v>100</v>
      </c>
      <c r="V38" s="701" t="s">
        <v>14</v>
      </c>
      <c r="W38" s="702">
        <f t="shared" si="14"/>
        <v>100</v>
      </c>
      <c r="X38" s="703"/>
      <c r="Y38" s="384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6" t="s">
        <v>1691</v>
      </c>
      <c r="Q39" s="1352" t="str">
        <f t="shared" si="11"/>
        <v>物业管理</v>
      </c>
      <c r="R39" s="705" t="s">
        <v>14</v>
      </c>
      <c r="S39" s="706">
        <f t="shared" si="12"/>
        <v>100</v>
      </c>
      <c r="T39" s="705" t="s">
        <v>14</v>
      </c>
      <c r="U39" s="706">
        <f t="shared" si="13"/>
        <v>100</v>
      </c>
      <c r="V39" s="705" t="s">
        <v>14</v>
      </c>
      <c r="W39" s="706">
        <f t="shared" si="14"/>
        <v>100</v>
      </c>
      <c r="X39" s="1355"/>
      <c r="Y39" s="384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6"/>
      <c r="Q40" s="1352" t="str">
        <f t="shared" si="11"/>
        <v>市政基础设施</v>
      </c>
      <c r="R40" s="705" t="s">
        <v>14</v>
      </c>
      <c r="S40" s="706">
        <f t="shared" si="12"/>
        <v>100</v>
      </c>
      <c r="T40" s="705" t="s">
        <v>14</v>
      </c>
      <c r="U40" s="706">
        <f t="shared" si="13"/>
        <v>100</v>
      </c>
      <c r="V40" s="705" t="s">
        <v>14</v>
      </c>
      <c r="W40" s="706">
        <f t="shared" si="14"/>
        <v>100</v>
      </c>
      <c r="X40" s="1355"/>
      <c r="Y40" s="384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6"/>
      <c r="Q41" s="1352" t="str">
        <f t="shared" si="11"/>
        <v>层高</v>
      </c>
      <c r="R41" s="705" t="s">
        <v>14</v>
      </c>
      <c r="S41" s="706">
        <f t="shared" si="12"/>
        <v>100</v>
      </c>
      <c r="T41" s="705" t="s">
        <v>14</v>
      </c>
      <c r="U41" s="706">
        <f t="shared" si="13"/>
        <v>100</v>
      </c>
      <c r="V41" s="705" t="s">
        <v>14</v>
      </c>
      <c r="W41" s="706">
        <f t="shared" si="14"/>
        <v>100</v>
      </c>
      <c r="X41" s="1355"/>
      <c r="Y41" s="384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6"/>
      <c r="Q42" s="707" t="str">
        <f t="shared" si="11"/>
        <v>单套建筑面积</v>
      </c>
      <c r="R42" s="708" t="s">
        <v>14</v>
      </c>
      <c r="S42" s="709">
        <f t="shared" si="12"/>
        <v>100</v>
      </c>
      <c r="T42" s="708" t="s">
        <v>14</v>
      </c>
      <c r="U42" s="709">
        <f t="shared" si="13"/>
        <v>100</v>
      </c>
      <c r="V42" s="708" t="s">
        <v>14</v>
      </c>
      <c r="W42" s="709">
        <f t="shared" si="14"/>
        <v>100</v>
      </c>
      <c r="X42" s="710"/>
      <c r="Y42" s="384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6"/>
      <c r="Q43" s="1352" t="str">
        <f t="shared" si="11"/>
        <v>内部装修</v>
      </c>
      <c r="R43" s="705" t="s">
        <v>14</v>
      </c>
      <c r="S43" s="706">
        <f t="shared" si="12"/>
        <v>100</v>
      </c>
      <c r="T43" s="705" t="s">
        <v>14</v>
      </c>
      <c r="U43" s="706">
        <f t="shared" si="13"/>
        <v>100</v>
      </c>
      <c r="V43" s="705" t="s">
        <v>14</v>
      </c>
      <c r="W43" s="706">
        <f t="shared" si="14"/>
        <v>100</v>
      </c>
      <c r="X43" s="1355"/>
      <c r="Y43" s="384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6"/>
      <c r="Q44" s="1352" t="str">
        <f t="shared" si="11"/>
        <v>内部装修维护情况</v>
      </c>
      <c r="R44" s="705" t="s">
        <v>14</v>
      </c>
      <c r="S44" s="706">
        <f t="shared" si="12"/>
        <v>100</v>
      </c>
      <c r="T44" s="705" t="s">
        <v>14</v>
      </c>
      <c r="U44" s="706">
        <f t="shared" si="13"/>
        <v>100</v>
      </c>
      <c r="V44" s="705" t="s">
        <v>14</v>
      </c>
      <c r="W44" s="706">
        <f t="shared" si="14"/>
        <v>100</v>
      </c>
      <c r="X44" s="1355"/>
      <c r="Y44" s="384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6"/>
      <c r="Q45" s="1343">
        <f t="shared" si="11"/>
        <v>111</v>
      </c>
      <c r="R45" s="701" t="s">
        <v>14</v>
      </c>
      <c r="S45" s="702">
        <f t="shared" si="12"/>
        <v>100</v>
      </c>
      <c r="T45" s="701" t="s">
        <v>14</v>
      </c>
      <c r="U45" s="702">
        <f t="shared" si="13"/>
        <v>100</v>
      </c>
      <c r="V45" s="701" t="s">
        <v>14</v>
      </c>
      <c r="W45" s="702">
        <f t="shared" si="14"/>
        <v>100</v>
      </c>
      <c r="X45" s="703"/>
      <c r="Y45" s="384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6"/>
      <c r="Q46" s="1352">
        <f t="shared" si="11"/>
        <v>111</v>
      </c>
      <c r="R46" s="705" t="s">
        <v>14</v>
      </c>
      <c r="S46" s="706">
        <f t="shared" si="12"/>
        <v>100</v>
      </c>
      <c r="T46" s="705" t="s">
        <v>14</v>
      </c>
      <c r="U46" s="706">
        <f t="shared" si="13"/>
        <v>100</v>
      </c>
      <c r="V46" s="705" t="s">
        <v>14</v>
      </c>
      <c r="W46" s="706">
        <f t="shared" si="14"/>
        <v>100</v>
      </c>
      <c r="X46" s="1355"/>
      <c r="Y46" s="384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7"/>
      <c r="Q47" s="1352">
        <f t="shared" si="11"/>
        <v>111</v>
      </c>
      <c r="R47" s="705" t="s">
        <v>14</v>
      </c>
      <c r="S47" s="706">
        <f t="shared" si="12"/>
        <v>100</v>
      </c>
      <c r="T47" s="705" t="s">
        <v>14</v>
      </c>
      <c r="U47" s="706">
        <f t="shared" si="13"/>
        <v>100</v>
      </c>
      <c r="V47" s="705" t="s">
        <v>14</v>
      </c>
      <c r="W47" s="706">
        <f t="shared" si="14"/>
        <v>100</v>
      </c>
      <c r="X47" s="1355"/>
      <c r="Y47" s="384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0" t="str">
        <f>A48</f>
        <v>成交单价（元/平方米）</v>
      </c>
      <c r="Q48" s="3850"/>
      <c r="R48" s="3851">
        <f>E48</f>
        <v>0</v>
      </c>
      <c r="S48" s="3851"/>
      <c r="T48" s="3851">
        <f>G48</f>
        <v>0</v>
      </c>
      <c r="U48" s="3851"/>
      <c r="V48" s="3851">
        <f>I48</f>
        <v>0</v>
      </c>
      <c r="W48" s="385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0" t="str">
        <f>A49</f>
        <v>比较价值（元/平方米）</v>
      </c>
      <c r="Q49" s="3850"/>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913"/>
      <c r="M4" s="914"/>
      <c r="N4" s="914"/>
      <c r="O4" s="914"/>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913"/>
      <c r="M5" s="914"/>
      <c r="N5" s="914"/>
      <c r="O5" s="914"/>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913"/>
      <c r="M6" s="914"/>
      <c r="N6" s="914"/>
      <c r="O6" s="914"/>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SUMIF(52:52,YEAR(E7)&amp;"-"&amp;MONTH(E7),53:53)</f>
        <v>0</v>
      </c>
      <c r="G7" s="366"/>
      <c r="H7" s="365">
        <f>SUMIF(52:52,YEAR(G7)&amp;"-"&amp;MONTH(G7),53:53)</f>
        <v>0</v>
      </c>
      <c r="I7" s="366"/>
      <c r="J7" s="365">
        <f>SUMIF(52:52,YEAR(I7)&amp;"-"&amp;MONTH(I7),53:53)</f>
        <v>0</v>
      </c>
      <c r="K7" s="560"/>
      <c r="L7" s="915"/>
      <c r="M7" s="916"/>
      <c r="N7" s="916"/>
      <c r="O7" s="916"/>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7" t="s">
        <v>1678</v>
      </c>
      <c r="Q8" s="3839"/>
      <c r="R8" s="701" t="s">
        <v>14</v>
      </c>
      <c r="S8" s="702">
        <f t="shared" si="0"/>
        <v>100</v>
      </c>
      <c r="T8" s="701" t="s">
        <v>14</v>
      </c>
      <c r="U8" s="702">
        <f t="shared" si="1"/>
        <v>100</v>
      </c>
      <c r="V8" s="701" t="s">
        <v>14</v>
      </c>
      <c r="W8" s="702">
        <f t="shared" si="2"/>
        <v>100</v>
      </c>
      <c r="X8" s="703"/>
      <c r="Y8" s="3837" t="s">
        <v>1678</v>
      </c>
      <c r="Z8" s="3839"/>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0"/>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4"/>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4"/>
      <c r="Q18" s="1352"/>
      <c r="R18" s="705"/>
      <c r="S18" s="706"/>
      <c r="T18" s="705"/>
      <c r="U18" s="706"/>
      <c r="V18" s="705"/>
      <c r="W18" s="706"/>
      <c r="X18" s="1355"/>
      <c r="Y18" s="384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4"/>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4"/>
      <c r="Q20" s="1352"/>
      <c r="R20" s="705"/>
      <c r="S20" s="706"/>
      <c r="T20" s="705"/>
      <c r="U20" s="706"/>
      <c r="V20" s="705"/>
      <c r="W20" s="706"/>
      <c r="X20" s="1355"/>
      <c r="Y20" s="384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4"/>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4"/>
      <c r="Q22" s="1352"/>
      <c r="R22" s="705"/>
      <c r="S22" s="706"/>
      <c r="T22" s="705"/>
      <c r="U22" s="706"/>
      <c r="V22" s="705"/>
      <c r="W22" s="706"/>
      <c r="X22" s="1355"/>
      <c r="Y22" s="384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4"/>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4"/>
      <c r="Q24" s="1352"/>
      <c r="R24" s="705"/>
      <c r="S24" s="706"/>
      <c r="T24" s="705"/>
      <c r="U24" s="706"/>
      <c r="V24" s="705"/>
      <c r="W24" s="706"/>
      <c r="X24" s="1355"/>
      <c r="Y24" s="38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4"/>
      <c r="Q25" s="1352">
        <f>B25</f>
        <v>111</v>
      </c>
      <c r="R25" s="705" t="s">
        <v>14</v>
      </c>
      <c r="S25" s="706">
        <f>F25</f>
        <v>100</v>
      </c>
      <c r="T25" s="705" t="s">
        <v>14</v>
      </c>
      <c r="U25" s="706">
        <f>H25</f>
        <v>100</v>
      </c>
      <c r="V25" s="705" t="s">
        <v>14</v>
      </c>
      <c r="W25" s="706">
        <f>J25</f>
        <v>100</v>
      </c>
      <c r="X25" s="1355"/>
      <c r="Y25" s="38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4"/>
      <c r="Q26" s="1352">
        <f t="shared" ref="Q26:Q40" si="11">B26</f>
        <v>111</v>
      </c>
      <c r="R26" s="705" t="s">
        <v>14</v>
      </c>
      <c r="S26" s="706">
        <f>F26</f>
        <v>100</v>
      </c>
      <c r="T26" s="705" t="s">
        <v>14</v>
      </c>
      <c r="U26" s="706">
        <f>H26</f>
        <v>100</v>
      </c>
      <c r="V26" s="705" t="s">
        <v>14</v>
      </c>
      <c r="W26" s="706">
        <f>J26</f>
        <v>100</v>
      </c>
      <c r="X26" s="1355"/>
      <c r="Y26" s="38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4"/>
      <c r="Q27" s="1343">
        <f t="shared" si="11"/>
        <v>111</v>
      </c>
      <c r="R27" s="701" t="s">
        <v>14</v>
      </c>
      <c r="S27" s="702">
        <f>F27</f>
        <v>100</v>
      </c>
      <c r="T27" s="701" t="s">
        <v>14</v>
      </c>
      <c r="U27" s="702">
        <f>H27</f>
        <v>100</v>
      </c>
      <c r="V27" s="701" t="s">
        <v>14</v>
      </c>
      <c r="W27" s="702">
        <f>J27</f>
        <v>100</v>
      </c>
      <c r="X27" s="703"/>
      <c r="Y27" s="38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4"/>
      <c r="Q28" s="1352">
        <f t="shared" si="11"/>
        <v>111</v>
      </c>
      <c r="R28" s="705" t="s">
        <v>14</v>
      </c>
      <c r="S28" s="706">
        <f t="shared" ref="S28:S40" si="12">F28</f>
        <v>100</v>
      </c>
      <c r="T28" s="705" t="s">
        <v>14</v>
      </c>
      <c r="U28" s="706">
        <f t="shared" ref="U28:U40" si="13">H28</f>
        <v>100</v>
      </c>
      <c r="V28" s="705" t="s">
        <v>14</v>
      </c>
      <c r="W28" s="706">
        <f t="shared" ref="W28:W40" si="14">J28</f>
        <v>100</v>
      </c>
      <c r="X28" s="1355"/>
      <c r="Y28" s="384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1" t="s">
        <v>1691</v>
      </c>
      <c r="Q29" s="1352" t="str">
        <f t="shared" si="11"/>
        <v>建筑类型</v>
      </c>
      <c r="R29" s="705" t="s">
        <v>14</v>
      </c>
      <c r="S29" s="706">
        <f t="shared" si="12"/>
        <v>100</v>
      </c>
      <c r="T29" s="705" t="s">
        <v>14</v>
      </c>
      <c r="U29" s="706">
        <f t="shared" si="13"/>
        <v>100</v>
      </c>
      <c r="V29" s="705" t="s">
        <v>14</v>
      </c>
      <c r="W29" s="706">
        <f t="shared" si="14"/>
        <v>100</v>
      </c>
      <c r="X29" s="1355"/>
      <c r="Y29" s="384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8"/>
      <c r="Q30" s="707" t="str">
        <f t="shared" si="11"/>
        <v>项目建筑规模</v>
      </c>
      <c r="R30" s="708" t="s">
        <v>14</v>
      </c>
      <c r="S30" s="709" t="e">
        <f t="shared" si="12"/>
        <v>#N/A</v>
      </c>
      <c r="T30" s="708" t="s">
        <v>14</v>
      </c>
      <c r="U30" s="709" t="e">
        <f t="shared" si="13"/>
        <v>#N/A</v>
      </c>
      <c r="V30" s="708" t="s">
        <v>14</v>
      </c>
      <c r="W30" s="709" t="e">
        <f t="shared" si="14"/>
        <v>#N/A</v>
      </c>
      <c r="X30" s="710"/>
      <c r="Y30" s="384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8"/>
      <c r="Q31" s="1352" t="str">
        <f t="shared" si="11"/>
        <v>建筑结构</v>
      </c>
      <c r="R31" s="705" t="s">
        <v>14</v>
      </c>
      <c r="S31" s="706">
        <f t="shared" si="12"/>
        <v>100</v>
      </c>
      <c r="T31" s="705" t="s">
        <v>14</v>
      </c>
      <c r="U31" s="706">
        <f t="shared" si="13"/>
        <v>100</v>
      </c>
      <c r="V31" s="705" t="s">
        <v>14</v>
      </c>
      <c r="W31" s="706">
        <f t="shared" si="14"/>
        <v>100</v>
      </c>
      <c r="X31" s="1355"/>
      <c r="Y31" s="384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8"/>
      <c r="Q32" s="1352" t="str">
        <f t="shared" si="11"/>
        <v>公共部分装修</v>
      </c>
      <c r="R32" s="705" t="s">
        <v>14</v>
      </c>
      <c r="S32" s="706">
        <f t="shared" si="12"/>
        <v>100</v>
      </c>
      <c r="T32" s="705" t="s">
        <v>14</v>
      </c>
      <c r="U32" s="706">
        <f t="shared" si="13"/>
        <v>100</v>
      </c>
      <c r="V32" s="705" t="s">
        <v>14</v>
      </c>
      <c r="W32" s="706">
        <f t="shared" si="14"/>
        <v>100</v>
      </c>
      <c r="X32" s="1355"/>
      <c r="Y32" s="384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8"/>
      <c r="Q33" s="1352" t="str">
        <f t="shared" si="11"/>
        <v>成新度</v>
      </c>
      <c r="R33" s="705" t="s">
        <v>14</v>
      </c>
      <c r="S33" s="706" t="e">
        <f t="shared" si="12"/>
        <v>#N/A</v>
      </c>
      <c r="T33" s="705" t="s">
        <v>14</v>
      </c>
      <c r="U33" s="706" t="e">
        <f t="shared" si="13"/>
        <v>#N/A</v>
      </c>
      <c r="V33" s="705" t="s">
        <v>14</v>
      </c>
      <c r="W33" s="706" t="e">
        <f t="shared" si="14"/>
        <v>#N/A</v>
      </c>
      <c r="X33" s="1355"/>
      <c r="Y33" s="384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8"/>
      <c r="Q34" s="1343" t="str">
        <f t="shared" si="11"/>
        <v>物业管理</v>
      </c>
      <c r="R34" s="701" t="s">
        <v>14</v>
      </c>
      <c r="S34" s="702">
        <f t="shared" si="12"/>
        <v>100</v>
      </c>
      <c r="T34" s="701" t="s">
        <v>14</v>
      </c>
      <c r="U34" s="702">
        <f t="shared" si="13"/>
        <v>100</v>
      </c>
      <c r="V34" s="701" t="s">
        <v>14</v>
      </c>
      <c r="W34" s="702">
        <f t="shared" si="14"/>
        <v>100</v>
      </c>
      <c r="X34" s="703"/>
      <c r="Y34" s="384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8" t="s">
        <v>1691</v>
      </c>
      <c r="Q35" s="1352" t="str">
        <f t="shared" si="11"/>
        <v>市政基础设施</v>
      </c>
      <c r="R35" s="705" t="s">
        <v>14</v>
      </c>
      <c r="S35" s="706">
        <f t="shared" si="12"/>
        <v>100</v>
      </c>
      <c r="T35" s="705" t="s">
        <v>14</v>
      </c>
      <c r="U35" s="706">
        <f t="shared" si="13"/>
        <v>100</v>
      </c>
      <c r="V35" s="705" t="s">
        <v>14</v>
      </c>
      <c r="W35" s="706">
        <f t="shared" si="14"/>
        <v>100</v>
      </c>
      <c r="X35" s="1355"/>
      <c r="Y35" s="384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8"/>
      <c r="Q36" s="1352" t="str">
        <f t="shared" si="11"/>
        <v>内部装修</v>
      </c>
      <c r="R36" s="705" t="s">
        <v>14</v>
      </c>
      <c r="S36" s="706">
        <f t="shared" si="12"/>
        <v>100</v>
      </c>
      <c r="T36" s="705" t="s">
        <v>14</v>
      </c>
      <c r="U36" s="706">
        <f t="shared" si="13"/>
        <v>100</v>
      </c>
      <c r="V36" s="705" t="s">
        <v>14</v>
      </c>
      <c r="W36" s="706">
        <f t="shared" si="14"/>
        <v>100</v>
      </c>
      <c r="X36" s="1355"/>
      <c r="Y36" s="384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8"/>
      <c r="Q37" s="1352" t="str">
        <f t="shared" si="11"/>
        <v>内部装修状况</v>
      </c>
      <c r="R37" s="705" t="s">
        <v>14</v>
      </c>
      <c r="S37" s="706">
        <f t="shared" si="12"/>
        <v>100</v>
      </c>
      <c r="T37" s="705" t="s">
        <v>14</v>
      </c>
      <c r="U37" s="706">
        <f t="shared" si="13"/>
        <v>100</v>
      </c>
      <c r="V37" s="705" t="s">
        <v>14</v>
      </c>
      <c r="W37" s="706">
        <f t="shared" si="14"/>
        <v>100</v>
      </c>
      <c r="X37" s="1355"/>
      <c r="Y37" s="38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8"/>
      <c r="Q38" s="707">
        <f t="shared" si="11"/>
        <v>111</v>
      </c>
      <c r="R38" s="708" t="s">
        <v>14</v>
      </c>
      <c r="S38" s="709">
        <f t="shared" si="12"/>
        <v>100</v>
      </c>
      <c r="T38" s="708" t="s">
        <v>14</v>
      </c>
      <c r="U38" s="709">
        <f t="shared" si="13"/>
        <v>100</v>
      </c>
      <c r="V38" s="708" t="s">
        <v>14</v>
      </c>
      <c r="W38" s="709">
        <f t="shared" si="14"/>
        <v>100</v>
      </c>
      <c r="X38" s="710"/>
      <c r="Y38" s="38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8"/>
      <c r="Q39" s="1352">
        <f t="shared" si="11"/>
        <v>111</v>
      </c>
      <c r="R39" s="705" t="s">
        <v>14</v>
      </c>
      <c r="S39" s="706">
        <f t="shared" si="12"/>
        <v>100</v>
      </c>
      <c r="T39" s="705" t="s">
        <v>14</v>
      </c>
      <c r="U39" s="706">
        <f t="shared" si="13"/>
        <v>100</v>
      </c>
      <c r="V39" s="705" t="s">
        <v>14</v>
      </c>
      <c r="W39" s="706">
        <f t="shared" si="14"/>
        <v>100</v>
      </c>
      <c r="X39" s="1355"/>
      <c r="Y39" s="38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9"/>
      <c r="Q40" s="1352">
        <f t="shared" si="11"/>
        <v>111</v>
      </c>
      <c r="R40" s="705" t="s">
        <v>14</v>
      </c>
      <c r="S40" s="706">
        <f t="shared" si="12"/>
        <v>100</v>
      </c>
      <c r="T40" s="705" t="s">
        <v>14</v>
      </c>
      <c r="U40" s="706">
        <f t="shared" si="13"/>
        <v>100</v>
      </c>
      <c r="V40" s="705" t="s">
        <v>14</v>
      </c>
      <c r="W40" s="706">
        <f t="shared" si="14"/>
        <v>100</v>
      </c>
      <c r="X40" s="1355"/>
      <c r="Y40" s="384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0" t="str">
        <f>A41</f>
        <v>成交单价（元/平方米）</v>
      </c>
      <c r="Q41" s="3850"/>
      <c r="R41" s="3851">
        <f>E41</f>
        <v>0</v>
      </c>
      <c r="S41" s="3851"/>
      <c r="T41" s="3851">
        <f>G41</f>
        <v>0</v>
      </c>
      <c r="U41" s="3851"/>
      <c r="V41" s="3851">
        <f>I41</f>
        <v>0</v>
      </c>
      <c r="W41" s="385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0" t="str">
        <f>A42</f>
        <v>比较价值（元/平方米）</v>
      </c>
      <c r="Q42" s="3850"/>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7" t="s">
        <v>1675</v>
      </c>
      <c r="Q7" s="3838"/>
      <c r="R7" s="701" t="s">
        <v>14</v>
      </c>
      <c r="S7" s="702">
        <f t="shared" ref="S7:S14" si="0">F7</f>
        <v>0</v>
      </c>
      <c r="T7" s="701" t="s">
        <v>14</v>
      </c>
      <c r="U7" s="702">
        <f t="shared" ref="U7:U14" si="1">H7</f>
        <v>0</v>
      </c>
      <c r="V7" s="701" t="s">
        <v>14</v>
      </c>
      <c r="W7" s="702">
        <f t="shared" ref="W7:W14"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0"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0"/>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4"/>
      <c r="Q15" s="1352"/>
      <c r="R15" s="705"/>
      <c r="S15" s="706"/>
      <c r="T15" s="705"/>
      <c r="U15" s="706"/>
      <c r="V15" s="705"/>
      <c r="W15" s="706"/>
      <c r="X15" s="1355"/>
      <c r="Y15" s="384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4"/>
      <c r="Q17" s="1352"/>
      <c r="R17" s="705"/>
      <c r="S17" s="706"/>
      <c r="T17" s="705"/>
      <c r="U17" s="706"/>
      <c r="V17" s="705"/>
      <c r="W17" s="706"/>
      <c r="X17" s="1355"/>
      <c r="Y17" s="384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4"/>
      <c r="Q19" s="1352"/>
      <c r="R19" s="705"/>
      <c r="S19" s="706"/>
      <c r="T19" s="705"/>
      <c r="U19" s="706"/>
      <c r="V19" s="705"/>
      <c r="W19" s="706"/>
      <c r="X19" s="1355"/>
      <c r="Y19" s="384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4"/>
      <c r="Q21" s="1352"/>
      <c r="R21" s="705"/>
      <c r="S21" s="706"/>
      <c r="T21" s="705"/>
      <c r="U21" s="706"/>
      <c r="V21" s="705"/>
      <c r="W21" s="706"/>
      <c r="X21" s="1355"/>
      <c r="Y21" s="384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4"/>
      <c r="Q24" s="1352">
        <f t="shared" ref="Q24:Q36"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48"/>
      <c r="Q27" s="707" t="str">
        <f t="shared" si="11"/>
        <v>项目停车位配比</v>
      </c>
      <c r="R27" s="708" t="s">
        <v>14</v>
      </c>
      <c r="S27" s="709">
        <f t="shared" si="12"/>
        <v>100</v>
      </c>
      <c r="T27" s="708" t="s">
        <v>14</v>
      </c>
      <c r="U27" s="709">
        <f t="shared" si="13"/>
        <v>100</v>
      </c>
      <c r="V27" s="708" t="s">
        <v>14</v>
      </c>
      <c r="W27" s="709">
        <f t="shared" si="14"/>
        <v>100</v>
      </c>
      <c r="X27" s="710"/>
      <c r="Y27" s="384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48"/>
      <c r="Q28" s="1352" t="str">
        <f t="shared" si="11"/>
        <v>公共部分装修</v>
      </c>
      <c r="R28" s="705" t="s">
        <v>14</v>
      </c>
      <c r="S28" s="706">
        <f t="shared" si="12"/>
        <v>100</v>
      </c>
      <c r="T28" s="705" t="s">
        <v>14</v>
      </c>
      <c r="U28" s="706">
        <f t="shared" si="13"/>
        <v>100</v>
      </c>
      <c r="V28" s="705" t="s">
        <v>14</v>
      </c>
      <c r="W28" s="706">
        <f t="shared" si="14"/>
        <v>100</v>
      </c>
      <c r="X28" s="1355"/>
      <c r="Y28" s="384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48"/>
      <c r="Q29" s="1352" t="str">
        <f t="shared" si="11"/>
        <v>成新率</v>
      </c>
      <c r="R29" s="705" t="s">
        <v>14</v>
      </c>
      <c r="S29" s="706" t="e">
        <f t="shared" si="12"/>
        <v>#N/A</v>
      </c>
      <c r="T29" s="705" t="s">
        <v>14</v>
      </c>
      <c r="U29" s="706" t="e">
        <f t="shared" si="13"/>
        <v>#N/A</v>
      </c>
      <c r="V29" s="705" t="s">
        <v>14</v>
      </c>
      <c r="W29" s="706" t="e">
        <f t="shared" si="14"/>
        <v>#N/A</v>
      </c>
      <c r="X29" s="1355"/>
      <c r="Y29" s="384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48"/>
      <c r="Q30" s="1352" t="str">
        <f t="shared" si="11"/>
        <v>物业等级</v>
      </c>
      <c r="R30" s="705" t="s">
        <v>14</v>
      </c>
      <c r="S30" s="706">
        <f t="shared" si="12"/>
        <v>100</v>
      </c>
      <c r="T30" s="705" t="s">
        <v>14</v>
      </c>
      <c r="U30" s="706">
        <f t="shared" si="13"/>
        <v>100</v>
      </c>
      <c r="V30" s="705" t="s">
        <v>14</v>
      </c>
      <c r="W30" s="706">
        <f t="shared" si="14"/>
        <v>100</v>
      </c>
      <c r="X30" s="1355"/>
      <c r="Y30" s="384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48"/>
      <c r="Q31" s="1343" t="str">
        <f t="shared" si="11"/>
        <v>停车位面积</v>
      </c>
      <c r="R31" s="701" t="s">
        <v>14</v>
      </c>
      <c r="S31" s="702" t="e">
        <f t="shared" si="12"/>
        <v>#N/A</v>
      </c>
      <c r="T31" s="701" t="s">
        <v>14</v>
      </c>
      <c r="U31" s="702" t="e">
        <f t="shared" si="13"/>
        <v>#N/A</v>
      </c>
      <c r="V31" s="701" t="s">
        <v>14</v>
      </c>
      <c r="W31" s="702" t="e">
        <f t="shared" si="14"/>
        <v>#N/A</v>
      </c>
      <c r="X31" s="703"/>
      <c r="Y31" s="384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48" t="s">
        <v>1691</v>
      </c>
      <c r="Q32" s="1352" t="str">
        <f t="shared" si="11"/>
        <v>车位类型</v>
      </c>
      <c r="R32" s="705" t="s">
        <v>14</v>
      </c>
      <c r="S32" s="706">
        <f t="shared" si="12"/>
        <v>100</v>
      </c>
      <c r="T32" s="705" t="s">
        <v>14</v>
      </c>
      <c r="U32" s="706">
        <f t="shared" si="13"/>
        <v>100</v>
      </c>
      <c r="V32" s="705" t="s">
        <v>14</v>
      </c>
      <c r="W32" s="706">
        <f t="shared" si="14"/>
        <v>100</v>
      </c>
      <c r="X32" s="1355"/>
      <c r="Y32" s="384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48"/>
      <c r="Q33" s="1352" t="str">
        <f t="shared" si="11"/>
        <v>是否直接入户</v>
      </c>
      <c r="R33" s="705" t="s">
        <v>14</v>
      </c>
      <c r="S33" s="706">
        <f t="shared" si="12"/>
        <v>100</v>
      </c>
      <c r="T33" s="705" t="s">
        <v>14</v>
      </c>
      <c r="U33" s="706">
        <f t="shared" si="13"/>
        <v>100</v>
      </c>
      <c r="V33" s="705" t="s">
        <v>14</v>
      </c>
      <c r="W33" s="706">
        <f t="shared" si="14"/>
        <v>100</v>
      </c>
      <c r="X33" s="1355"/>
      <c r="Y33" s="38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48"/>
      <c r="Q35" s="707">
        <f t="shared" si="11"/>
        <v>111</v>
      </c>
      <c r="R35" s="708" t="s">
        <v>14</v>
      </c>
      <c r="S35" s="709">
        <f t="shared" si="12"/>
        <v>100</v>
      </c>
      <c r="T35" s="708" t="s">
        <v>14</v>
      </c>
      <c r="U35" s="709">
        <f t="shared" si="13"/>
        <v>100</v>
      </c>
      <c r="V35" s="708" t="s">
        <v>14</v>
      </c>
      <c r="W35" s="709">
        <f t="shared" si="14"/>
        <v>100</v>
      </c>
      <c r="X35" s="710"/>
      <c r="Y35" s="38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48"/>
      <c r="Q36" s="1352">
        <f t="shared" si="11"/>
        <v>111</v>
      </c>
      <c r="R36" s="705" t="s">
        <v>14</v>
      </c>
      <c r="S36" s="706">
        <f t="shared" si="12"/>
        <v>100</v>
      </c>
      <c r="T36" s="705" t="s">
        <v>14</v>
      </c>
      <c r="U36" s="706">
        <f t="shared" si="13"/>
        <v>100</v>
      </c>
      <c r="V36" s="705" t="s">
        <v>14</v>
      </c>
      <c r="W36" s="706">
        <f t="shared" si="14"/>
        <v>100</v>
      </c>
      <c r="X36" s="1355"/>
      <c r="Y36" s="384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0" t="str">
        <f>A37</f>
        <v>成交单价</v>
      </c>
      <c r="Q37" s="3850"/>
      <c r="R37" s="3851">
        <f>E37</f>
        <v>0</v>
      </c>
      <c r="S37" s="3851"/>
      <c r="T37" s="3851">
        <f>G37</f>
        <v>0</v>
      </c>
      <c r="U37" s="3851"/>
      <c r="V37" s="3851">
        <f>I37</f>
        <v>0</v>
      </c>
      <c r="W37" s="385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0" t="str">
        <f>A38</f>
        <v>比较价值（元/平方米）</v>
      </c>
      <c r="Q38" s="3850"/>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2" t="str">
        <f>A39</f>
        <v>估价对象XX用房的比较价值（楼面单价，元/平方米）</v>
      </c>
      <c r="Q39" s="3853"/>
      <c r="R39" s="3872" t="e">
        <f>IF(F1="售价",ROUND(IF(D38="简单平均",AVERAGE(R38:W38),R38*F38+T38*H38+V38*J38),0),ROUND(IF(D38="简单平均",AVERAGE(R38:V38),R38*F38+T38*H38+V38*J38),1))</f>
        <v>#DIV/0!</v>
      </c>
      <c r="S39" s="3872"/>
      <c r="T39" s="3872"/>
      <c r="U39" s="3872"/>
      <c r="V39" s="3872"/>
      <c r="W39" s="387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7" t="s">
        <v>1675</v>
      </c>
      <c r="Q7" s="3838"/>
      <c r="R7" s="701" t="s">
        <v>14</v>
      </c>
      <c r="S7" s="702">
        <f t="shared" ref="S7:S14" si="0">F7</f>
        <v>0</v>
      </c>
      <c r="T7" s="701" t="s">
        <v>14</v>
      </c>
      <c r="U7" s="702">
        <f t="shared" ref="U7:U14" si="1">H7</f>
        <v>0</v>
      </c>
      <c r="V7" s="701" t="s">
        <v>14</v>
      </c>
      <c r="W7" s="702">
        <f t="shared" ref="W7:W14"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0"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0"/>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4"/>
      <c r="Q15" s="1352"/>
      <c r="R15" s="705"/>
      <c r="S15" s="706"/>
      <c r="T15" s="705"/>
      <c r="U15" s="706"/>
      <c r="V15" s="705"/>
      <c r="W15" s="706"/>
      <c r="X15" s="1355"/>
      <c r="Y15" s="384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4"/>
      <c r="Q17" s="1352"/>
      <c r="R17" s="705"/>
      <c r="S17" s="706"/>
      <c r="T17" s="705"/>
      <c r="U17" s="706"/>
      <c r="V17" s="705"/>
      <c r="W17" s="706"/>
      <c r="X17" s="1355"/>
      <c r="Y17" s="384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4"/>
      <c r="Q19" s="1352"/>
      <c r="R19" s="705"/>
      <c r="S19" s="706"/>
      <c r="T19" s="705"/>
      <c r="U19" s="706"/>
      <c r="V19" s="705"/>
      <c r="W19" s="706"/>
      <c r="X19" s="1355"/>
      <c r="Y19" s="384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4"/>
      <c r="Q21" s="1352"/>
      <c r="R21" s="705"/>
      <c r="S21" s="706"/>
      <c r="T21" s="705"/>
      <c r="U21" s="706"/>
      <c r="V21" s="705"/>
      <c r="W21" s="706"/>
      <c r="X21" s="1355"/>
      <c r="Y21" s="384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4"/>
      <c r="Q24" s="1352">
        <f t="shared" ref="Q24:Q34"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48"/>
      <c r="Q27" s="707" t="str">
        <f t="shared" si="11"/>
        <v>成新率</v>
      </c>
      <c r="R27" s="708" t="s">
        <v>14</v>
      </c>
      <c r="S27" s="709" t="e">
        <f t="shared" si="12"/>
        <v>#N/A</v>
      </c>
      <c r="T27" s="708" t="s">
        <v>14</v>
      </c>
      <c r="U27" s="709" t="e">
        <f t="shared" si="13"/>
        <v>#N/A</v>
      </c>
      <c r="V27" s="708" t="s">
        <v>14</v>
      </c>
      <c r="W27" s="709" t="e">
        <f t="shared" si="14"/>
        <v>#N/A</v>
      </c>
      <c r="X27" s="710"/>
      <c r="Y27" s="384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48"/>
      <c r="Q28" s="1352" t="str">
        <f t="shared" si="11"/>
        <v>物业等级</v>
      </c>
      <c r="R28" s="705" t="s">
        <v>14</v>
      </c>
      <c r="S28" s="706">
        <f t="shared" si="12"/>
        <v>100</v>
      </c>
      <c r="T28" s="705" t="s">
        <v>14</v>
      </c>
      <c r="U28" s="706">
        <f t="shared" si="13"/>
        <v>100</v>
      </c>
      <c r="V28" s="705" t="s">
        <v>14</v>
      </c>
      <c r="W28" s="706">
        <f t="shared" si="14"/>
        <v>100</v>
      </c>
      <c r="X28" s="1355"/>
      <c r="Y28" s="384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48"/>
      <c r="Q29" s="1352" t="str">
        <f t="shared" si="11"/>
        <v>有无电梯</v>
      </c>
      <c r="R29" s="705" t="s">
        <v>14</v>
      </c>
      <c r="S29" s="706">
        <f t="shared" si="12"/>
        <v>100</v>
      </c>
      <c r="T29" s="705" t="s">
        <v>14</v>
      </c>
      <c r="U29" s="706">
        <f t="shared" si="13"/>
        <v>100</v>
      </c>
      <c r="V29" s="705" t="s">
        <v>14</v>
      </c>
      <c r="W29" s="706">
        <f t="shared" si="14"/>
        <v>100</v>
      </c>
      <c r="X29" s="1355"/>
      <c r="Y29" s="384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48"/>
      <c r="Q30" s="1352" t="str">
        <f t="shared" si="11"/>
        <v>建筑面积</v>
      </c>
      <c r="R30" s="705" t="s">
        <v>14</v>
      </c>
      <c r="S30" s="706" t="e">
        <f t="shared" si="12"/>
        <v>#N/A</v>
      </c>
      <c r="T30" s="705" t="s">
        <v>14</v>
      </c>
      <c r="U30" s="706" t="e">
        <f t="shared" si="13"/>
        <v>#N/A</v>
      </c>
      <c r="V30" s="705" t="s">
        <v>14</v>
      </c>
      <c r="W30" s="706" t="e">
        <f t="shared" si="14"/>
        <v>#N/A</v>
      </c>
      <c r="X30" s="1355"/>
      <c r="Y30" s="384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48"/>
      <c r="Q31" s="1343" t="str">
        <f t="shared" si="11"/>
        <v>是否封闭</v>
      </c>
      <c r="R31" s="701" t="s">
        <v>14</v>
      </c>
      <c r="S31" s="702">
        <f t="shared" si="12"/>
        <v>100</v>
      </c>
      <c r="T31" s="701" t="s">
        <v>14</v>
      </c>
      <c r="U31" s="702">
        <f t="shared" si="13"/>
        <v>100</v>
      </c>
      <c r="V31" s="701" t="s">
        <v>14</v>
      </c>
      <c r="W31" s="702">
        <f t="shared" si="14"/>
        <v>100</v>
      </c>
      <c r="X31" s="703"/>
      <c r="Y31" s="38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48" t="s">
        <v>1691</v>
      </c>
      <c r="Q32" s="1352">
        <f t="shared" si="11"/>
        <v>111</v>
      </c>
      <c r="R32" s="705" t="s">
        <v>14</v>
      </c>
      <c r="S32" s="706">
        <f t="shared" si="12"/>
        <v>100</v>
      </c>
      <c r="T32" s="705" t="s">
        <v>14</v>
      </c>
      <c r="U32" s="706">
        <f t="shared" si="13"/>
        <v>100</v>
      </c>
      <c r="V32" s="705" t="s">
        <v>14</v>
      </c>
      <c r="W32" s="706">
        <f t="shared" si="14"/>
        <v>100</v>
      </c>
      <c r="X32" s="1355"/>
      <c r="Y32" s="384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48"/>
      <c r="Q33" s="1352">
        <f t="shared" si="11"/>
        <v>111</v>
      </c>
      <c r="R33" s="705" t="s">
        <v>14</v>
      </c>
      <c r="S33" s="706">
        <f t="shared" si="12"/>
        <v>100</v>
      </c>
      <c r="T33" s="705" t="s">
        <v>14</v>
      </c>
      <c r="U33" s="706">
        <f t="shared" si="13"/>
        <v>100</v>
      </c>
      <c r="V33" s="705" t="s">
        <v>14</v>
      </c>
      <c r="W33" s="706">
        <f t="shared" si="14"/>
        <v>100</v>
      </c>
      <c r="X33" s="1355"/>
      <c r="Y33" s="384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0" t="str">
        <f>A35</f>
        <v>成交单价（元/平方米）</v>
      </c>
      <c r="Q35" s="3850"/>
      <c r="R35" s="3851">
        <f>E35</f>
        <v>0</v>
      </c>
      <c r="S35" s="3851"/>
      <c r="T35" s="3851">
        <f>G35</f>
        <v>0</v>
      </c>
      <c r="U35" s="3851"/>
      <c r="V35" s="3851">
        <f>I35</f>
        <v>0</v>
      </c>
      <c r="W35" s="385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0" t="str">
        <f>A36</f>
        <v>比较价值（元/平方米）</v>
      </c>
      <c r="Q36" s="3850"/>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2" t="str">
        <f>A37</f>
        <v>估价对象XX用房的比较价值（楼面单价，元/平方米）</v>
      </c>
      <c r="Q37" s="3853"/>
      <c r="R37" s="3872" t="e">
        <f>IF(F1="售价",ROUND(IF(D36="简单平均",AVERAGE(R36:W36),R36*F36+T36*H36+V36*J36),0),ROUND(IF(D36="简单平均",AVERAGE(R36:V36),R36*F36+T36*H36+V36*J36),1))</f>
        <v>#DIV/0!</v>
      </c>
      <c r="S37" s="3872"/>
      <c r="T37" s="3872"/>
      <c r="U37" s="3872"/>
      <c r="V37" s="3872"/>
      <c r="W37" s="387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30"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30"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30" s="108" customFormat="1" ht="15.75" thickBot="1">
      <c r="A7" s="362" t="s">
        <v>1674</v>
      </c>
      <c r="B7" s="363"/>
      <c r="C7" s="364">
        <f>'数据-取费表'!B2</f>
        <v>44963</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7" t="s">
        <v>1678</v>
      </c>
      <c r="Q8" s="3839"/>
      <c r="R8" s="701" t="s">
        <v>14</v>
      </c>
      <c r="S8" s="702">
        <f t="shared" si="0"/>
        <v>0</v>
      </c>
      <c r="T8" s="701" t="s">
        <v>14</v>
      </c>
      <c r="U8" s="702">
        <f t="shared" si="1"/>
        <v>0</v>
      </c>
      <c r="V8" s="701" t="s">
        <v>14</v>
      </c>
      <c r="W8" s="702">
        <f t="shared" si="2"/>
        <v>0</v>
      </c>
      <c r="X8" s="703"/>
      <c r="Y8" s="3837" t="s">
        <v>1678</v>
      </c>
      <c r="Z8" s="3839"/>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0"/>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0"/>
      <c r="Q12" s="1343"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43" t="s">
        <v>1686</v>
      </c>
      <c r="Q15" s="1352" t="str">
        <f t="shared" si="6"/>
        <v>居住社区成熟度</v>
      </c>
      <c r="R15" s="705" t="s">
        <v>14</v>
      </c>
      <c r="S15" s="706">
        <f t="shared" si="0"/>
        <v>100</v>
      </c>
      <c r="T15" s="705" t="s">
        <v>14</v>
      </c>
      <c r="U15" s="706">
        <f t="shared" si="1"/>
        <v>100</v>
      </c>
      <c r="V15" s="705" t="s">
        <v>14</v>
      </c>
      <c r="W15" s="706">
        <f t="shared" si="2"/>
        <v>100</v>
      </c>
      <c r="X15" s="1355"/>
      <c r="Y15" s="3843"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44"/>
      <c r="Q17" s="1352" t="str">
        <f>B17</f>
        <v>商业繁华度</v>
      </c>
      <c r="R17" s="705" t="s">
        <v>14</v>
      </c>
      <c r="S17" s="706">
        <f>F17</f>
        <v>100</v>
      </c>
      <c r="T17" s="705" t="s">
        <v>14</v>
      </c>
      <c r="U17" s="706">
        <f>H17</f>
        <v>100</v>
      </c>
      <c r="V17" s="705" t="s">
        <v>14</v>
      </c>
      <c r="W17" s="706">
        <f>J17</f>
        <v>100</v>
      </c>
      <c r="X17" s="1355"/>
      <c r="Y17" s="384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44"/>
      <c r="Q19" s="1352" t="str">
        <f>B19</f>
        <v>办公集聚程度</v>
      </c>
      <c r="R19" s="705" t="s">
        <v>14</v>
      </c>
      <c r="S19" s="706">
        <f>F19</f>
        <v>100</v>
      </c>
      <c r="T19" s="705" t="s">
        <v>14</v>
      </c>
      <c r="U19" s="706">
        <f>H19</f>
        <v>100</v>
      </c>
      <c r="V19" s="705" t="s">
        <v>14</v>
      </c>
      <c r="W19" s="706">
        <f>J19</f>
        <v>100</v>
      </c>
      <c r="X19" s="1355"/>
      <c r="Y19" s="384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44"/>
      <c r="Q20" s="1352"/>
      <c r="R20" s="705"/>
      <c r="S20" s="706"/>
      <c r="T20" s="705"/>
      <c r="U20" s="706"/>
      <c r="V20" s="705"/>
      <c r="W20" s="706"/>
      <c r="X20" s="1355"/>
      <c r="Y20" s="384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44"/>
      <c r="Q21" s="1352" t="str">
        <f>B21</f>
        <v>交通便捷度</v>
      </c>
      <c r="R21" s="705" t="s">
        <v>14</v>
      </c>
      <c r="S21" s="706">
        <f>F21</f>
        <v>100</v>
      </c>
      <c r="T21" s="705" t="s">
        <v>14</v>
      </c>
      <c r="U21" s="706">
        <f>H21</f>
        <v>100</v>
      </c>
      <c r="V21" s="705" t="s">
        <v>14</v>
      </c>
      <c r="W21" s="706">
        <f>J21</f>
        <v>100</v>
      </c>
      <c r="X21" s="1355"/>
      <c r="Y21" s="384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44"/>
      <c r="Q23" s="1352" t="str">
        <f t="shared" ref="Q23:Q37" si="8">B23</f>
        <v>区域土地利用方向</v>
      </c>
      <c r="R23" s="705" t="s">
        <v>14</v>
      </c>
      <c r="S23" s="706">
        <f>F23</f>
        <v>100</v>
      </c>
      <c r="T23" s="705" t="s">
        <v>14</v>
      </c>
      <c r="U23" s="706">
        <f>H23</f>
        <v>100</v>
      </c>
      <c r="V23" s="705" t="s">
        <v>14</v>
      </c>
      <c r="W23" s="706">
        <f>J23</f>
        <v>100</v>
      </c>
      <c r="X23" s="1355"/>
      <c r="Y23" s="384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44"/>
      <c r="Q24" s="1352"/>
      <c r="R24" s="705"/>
      <c r="S24" s="706"/>
      <c r="T24" s="705"/>
      <c r="U24" s="706"/>
      <c r="V24" s="705"/>
      <c r="W24" s="706"/>
      <c r="X24" s="1355"/>
      <c r="Y24" s="384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44"/>
      <c r="Q25" s="1352" t="str">
        <f t="shared" si="8"/>
        <v>自然及人文环境状况</v>
      </c>
      <c r="R25" s="705" t="s">
        <v>14</v>
      </c>
      <c r="S25" s="706">
        <f>F25</f>
        <v>100</v>
      </c>
      <c r="T25" s="705" t="s">
        <v>14</v>
      </c>
      <c r="U25" s="706">
        <f>H25</f>
        <v>100</v>
      </c>
      <c r="V25" s="705" t="s">
        <v>14</v>
      </c>
      <c r="W25" s="706">
        <f>J25</f>
        <v>100</v>
      </c>
      <c r="X25" s="1355"/>
      <c r="Y25" s="384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44"/>
      <c r="Q26" s="1352"/>
      <c r="R26" s="705"/>
      <c r="S26" s="706"/>
      <c r="T26" s="705"/>
      <c r="U26" s="706"/>
      <c r="V26" s="705"/>
      <c r="W26" s="706"/>
      <c r="X26" s="1355"/>
      <c r="Y26" s="384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44"/>
      <c r="Q27" s="1343" t="str">
        <f t="shared" si="8"/>
        <v>公共配套设施</v>
      </c>
      <c r="R27" s="701" t="s">
        <v>14</v>
      </c>
      <c r="S27" s="702">
        <f>F27</f>
        <v>100</v>
      </c>
      <c r="T27" s="701" t="s">
        <v>14</v>
      </c>
      <c r="U27" s="702">
        <f>H27</f>
        <v>100</v>
      </c>
      <c r="V27" s="701" t="s">
        <v>14</v>
      </c>
      <c r="W27" s="702">
        <f>J27</f>
        <v>100</v>
      </c>
      <c r="X27" s="703"/>
      <c r="Y27" s="384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44"/>
      <c r="Q28" s="1343"/>
      <c r="R28" s="701"/>
      <c r="S28" s="702"/>
      <c r="T28" s="701"/>
      <c r="U28" s="702"/>
      <c r="V28" s="701"/>
      <c r="W28" s="702"/>
      <c r="X28" s="703"/>
      <c r="Y28" s="384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44"/>
      <c r="Q29" s="1343" t="str">
        <f t="shared" ref="Q29" si="9">B29</f>
        <v>基础设施水平</v>
      </c>
      <c r="R29" s="701" t="s">
        <v>14</v>
      </c>
      <c r="S29" s="702">
        <f>F29</f>
        <v>100</v>
      </c>
      <c r="T29" s="701" t="s">
        <v>14</v>
      </c>
      <c r="U29" s="702">
        <f>H29</f>
        <v>100</v>
      </c>
      <c r="V29" s="701" t="s">
        <v>14</v>
      </c>
      <c r="W29" s="702">
        <f>J29</f>
        <v>100</v>
      </c>
      <c r="X29" s="703"/>
      <c r="Y29" s="384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44"/>
      <c r="Q30" s="1343"/>
      <c r="R30" s="701"/>
      <c r="S30" s="702"/>
      <c r="T30" s="701"/>
      <c r="U30" s="702"/>
      <c r="V30" s="701"/>
      <c r="W30" s="702"/>
      <c r="X30" s="703"/>
      <c r="Y30" s="3844"/>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4"/>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4"/>
      <c r="Q32" s="1352" t="str">
        <f t="shared" si="8"/>
        <v>毗邻道路的类型与等级</v>
      </c>
      <c r="R32" s="705" t="s">
        <v>14</v>
      </c>
      <c r="S32" s="706">
        <f t="shared" si="10"/>
        <v>100</v>
      </c>
      <c r="T32" s="705" t="s">
        <v>14</v>
      </c>
      <c r="U32" s="706">
        <f t="shared" si="11"/>
        <v>100</v>
      </c>
      <c r="V32" s="705" t="s">
        <v>14</v>
      </c>
      <c r="W32" s="706">
        <f t="shared" si="12"/>
        <v>100</v>
      </c>
      <c r="X32" s="1355"/>
      <c r="Y32" s="384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44"/>
      <c r="Q33" s="1352"/>
      <c r="R33" s="705"/>
      <c r="S33" s="706"/>
      <c r="T33" s="705"/>
      <c r="U33" s="706"/>
      <c r="V33" s="705"/>
      <c r="W33" s="706"/>
      <c r="X33" s="1355"/>
      <c r="Y33" s="3844"/>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4"/>
      <c r="Q34" s="1352" t="str">
        <f t="shared" si="8"/>
        <v>土地级别</v>
      </c>
      <c r="R34" s="705" t="s">
        <v>14</v>
      </c>
      <c r="S34" s="706">
        <f t="shared" si="10"/>
        <v>100</v>
      </c>
      <c r="T34" s="705" t="s">
        <v>14</v>
      </c>
      <c r="U34" s="706">
        <f t="shared" si="11"/>
        <v>100</v>
      </c>
      <c r="V34" s="705" t="s">
        <v>14</v>
      </c>
      <c r="W34" s="706">
        <f t="shared" si="12"/>
        <v>100</v>
      </c>
      <c r="X34" s="1355"/>
      <c r="Y34" s="38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4"/>
      <c r="Q35" s="1352">
        <f t="shared" si="8"/>
        <v>111</v>
      </c>
      <c r="R35" s="705" t="s">
        <v>14</v>
      </c>
      <c r="S35" s="706">
        <f t="shared" si="10"/>
        <v>100</v>
      </c>
      <c r="T35" s="705" t="s">
        <v>14</v>
      </c>
      <c r="U35" s="706">
        <f t="shared" si="11"/>
        <v>100</v>
      </c>
      <c r="V35" s="705" t="s">
        <v>14</v>
      </c>
      <c r="W35" s="706">
        <f t="shared" si="12"/>
        <v>100</v>
      </c>
      <c r="X35" s="1355"/>
      <c r="Y35" s="38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1" t="s">
        <v>1691</v>
      </c>
      <c r="Q36" s="1352">
        <f t="shared" si="8"/>
        <v>111</v>
      </c>
      <c r="R36" s="705" t="s">
        <v>14</v>
      </c>
      <c r="S36" s="706">
        <f t="shared" si="10"/>
        <v>100</v>
      </c>
      <c r="T36" s="705" t="s">
        <v>14</v>
      </c>
      <c r="U36" s="706">
        <f t="shared" si="11"/>
        <v>100</v>
      </c>
      <c r="V36" s="705" t="s">
        <v>14</v>
      </c>
      <c r="W36" s="706">
        <f t="shared" si="12"/>
        <v>100</v>
      </c>
      <c r="X36" s="1355"/>
      <c r="Y36" s="3848"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48"/>
      <c r="Q37" s="1352">
        <f t="shared" si="8"/>
        <v>111</v>
      </c>
      <c r="R37" s="708" t="s">
        <v>14</v>
      </c>
      <c r="S37" s="709">
        <f t="shared" si="10"/>
        <v>100</v>
      </c>
      <c r="T37" s="708" t="s">
        <v>14</v>
      </c>
      <c r="U37" s="709">
        <f t="shared" si="11"/>
        <v>100</v>
      </c>
      <c r="V37" s="708" t="s">
        <v>14</v>
      </c>
      <c r="W37" s="709">
        <f t="shared" si="12"/>
        <v>100</v>
      </c>
      <c r="X37" s="710"/>
      <c r="Y37" s="3848"/>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48"/>
      <c r="Q38" s="1352" t="str">
        <f>B38</f>
        <v>宗地面积</v>
      </c>
      <c r="R38" s="705" t="s">
        <v>14</v>
      </c>
      <c r="S38" s="706" t="e">
        <f t="shared" si="10"/>
        <v>#N/A</v>
      </c>
      <c r="T38" s="705" t="s">
        <v>14</v>
      </c>
      <c r="U38" s="706" t="e">
        <f t="shared" si="11"/>
        <v>#N/A</v>
      </c>
      <c r="V38" s="705" t="s">
        <v>14</v>
      </c>
      <c r="W38" s="706" t="e">
        <f t="shared" si="12"/>
        <v>#N/A</v>
      </c>
      <c r="X38" s="1355"/>
      <c r="Y38" s="3848"/>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48"/>
      <c r="Q39" s="1352" t="str">
        <f t="shared" ref="Q39:Q45" si="14">B39</f>
        <v>宗地形状</v>
      </c>
      <c r="R39" s="705" t="s">
        <v>14</v>
      </c>
      <c r="S39" s="706">
        <f t="shared" si="10"/>
        <v>100</v>
      </c>
      <c r="T39" s="705" t="s">
        <v>14</v>
      </c>
      <c r="U39" s="706">
        <f t="shared" si="11"/>
        <v>100</v>
      </c>
      <c r="V39" s="705" t="s">
        <v>14</v>
      </c>
      <c r="W39" s="706">
        <f t="shared" si="12"/>
        <v>100</v>
      </c>
      <c r="X39" s="1355"/>
      <c r="Y39" s="384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48"/>
      <c r="Q40" s="1352" t="str">
        <f t="shared" si="14"/>
        <v>临街宽度及深度</v>
      </c>
      <c r="R40" s="705" t="s">
        <v>14</v>
      </c>
      <c r="S40" s="706">
        <f t="shared" si="10"/>
        <v>100</v>
      </c>
      <c r="T40" s="705" t="s">
        <v>14</v>
      </c>
      <c r="U40" s="706">
        <f t="shared" si="11"/>
        <v>100</v>
      </c>
      <c r="V40" s="705" t="s">
        <v>14</v>
      </c>
      <c r="W40" s="706">
        <f t="shared" si="12"/>
        <v>100</v>
      </c>
      <c r="X40" s="1355"/>
      <c r="Y40" s="384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48"/>
      <c r="Q41" s="1352" t="str">
        <f t="shared" si="14"/>
        <v>宗地开发程度</v>
      </c>
      <c r="R41" s="701" t="s">
        <v>14</v>
      </c>
      <c r="S41" s="702">
        <f t="shared" si="10"/>
        <v>100</v>
      </c>
      <c r="T41" s="701" t="s">
        <v>14</v>
      </c>
      <c r="U41" s="702">
        <f t="shared" si="11"/>
        <v>100</v>
      </c>
      <c r="V41" s="701" t="s">
        <v>14</v>
      </c>
      <c r="W41" s="702">
        <f t="shared" si="12"/>
        <v>100</v>
      </c>
      <c r="X41" s="703"/>
      <c r="Y41" s="384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48" t="s">
        <v>1691</v>
      </c>
      <c r="Q42" s="1352" t="str">
        <f t="shared" si="14"/>
        <v>工程地质条件</v>
      </c>
      <c r="R42" s="705" t="s">
        <v>14</v>
      </c>
      <c r="S42" s="706">
        <f t="shared" si="10"/>
        <v>100</v>
      </c>
      <c r="T42" s="705" t="s">
        <v>14</v>
      </c>
      <c r="U42" s="706">
        <f t="shared" si="11"/>
        <v>100</v>
      </c>
      <c r="V42" s="705" t="s">
        <v>14</v>
      </c>
      <c r="W42" s="706">
        <f t="shared" si="12"/>
        <v>100</v>
      </c>
      <c r="X42" s="1355"/>
      <c r="Y42" s="384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48"/>
      <c r="Q43" s="1352">
        <f t="shared" si="14"/>
        <v>111</v>
      </c>
      <c r="R43" s="705" t="s">
        <v>14</v>
      </c>
      <c r="S43" s="706">
        <f t="shared" si="10"/>
        <v>100</v>
      </c>
      <c r="T43" s="705" t="s">
        <v>14</v>
      </c>
      <c r="U43" s="706">
        <f t="shared" si="11"/>
        <v>100</v>
      </c>
      <c r="V43" s="705" t="s">
        <v>14</v>
      </c>
      <c r="W43" s="706">
        <f t="shared" si="12"/>
        <v>100</v>
      </c>
      <c r="X43" s="1355"/>
      <c r="Y43" s="38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48"/>
      <c r="Q44" s="1352">
        <f t="shared" si="14"/>
        <v>111</v>
      </c>
      <c r="R44" s="705" t="s">
        <v>14</v>
      </c>
      <c r="S44" s="706">
        <f t="shared" si="10"/>
        <v>100</v>
      </c>
      <c r="T44" s="705" t="s">
        <v>14</v>
      </c>
      <c r="U44" s="706">
        <f t="shared" si="11"/>
        <v>100</v>
      </c>
      <c r="V44" s="705" t="s">
        <v>14</v>
      </c>
      <c r="W44" s="706">
        <f t="shared" si="12"/>
        <v>100</v>
      </c>
      <c r="X44" s="1355"/>
      <c r="Y44" s="384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48"/>
      <c r="Q45" s="1352">
        <f t="shared" si="14"/>
        <v>111</v>
      </c>
      <c r="R45" s="708" t="s">
        <v>14</v>
      </c>
      <c r="S45" s="709">
        <f t="shared" si="10"/>
        <v>100</v>
      </c>
      <c r="T45" s="708" t="s">
        <v>14</v>
      </c>
      <c r="U45" s="709">
        <f t="shared" si="11"/>
        <v>100</v>
      </c>
      <c r="V45" s="708" t="s">
        <v>14</v>
      </c>
      <c r="W45" s="709">
        <f t="shared" si="12"/>
        <v>100</v>
      </c>
      <c r="X45" s="710"/>
      <c r="Y45" s="3848"/>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0" t="str">
        <f>A46</f>
        <v>成交单价</v>
      </c>
      <c r="Q46" s="3850"/>
      <c r="R46" s="3836">
        <f>E46</f>
        <v>0</v>
      </c>
      <c r="S46" s="3836"/>
      <c r="T46" s="3836">
        <f>G46</f>
        <v>0</v>
      </c>
      <c r="U46" s="3836"/>
      <c r="V46" s="3836">
        <f>I46</f>
        <v>0</v>
      </c>
      <c r="W46" s="3836"/>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0" t="str">
        <f>A47</f>
        <v>比较价值（元/平方米）</v>
      </c>
      <c r="Q47" s="3850"/>
      <c r="R47" s="3873" t="e">
        <f>ROUND(PRODUCT(R46,AA7:AA45),0)</f>
        <v>#DIV/0!</v>
      </c>
      <c r="S47" s="3873"/>
      <c r="T47" s="3873" t="e">
        <f>ROUND(PRODUCT(T46,AB7:AB45),0)</f>
        <v>#DIV/0!</v>
      </c>
      <c r="U47" s="3873"/>
      <c r="V47" s="3873" t="e">
        <f>ROUND(PRODUCT(V46,AC7:AC45),0)</f>
        <v>#DIV/0!</v>
      </c>
      <c r="W47" s="3873"/>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52" t="str">
        <f>A48</f>
        <v>估价对象XX用房的比较价值（楼面单价，元/平方米）</v>
      </c>
      <c r="Q48" s="3853"/>
      <c r="R48" s="3874" t="e">
        <f>ROUND(IF(D47="简单平均",AVERAGE(R47:W47),R47*F47+T47*H47+V47*J47),0)</f>
        <v>#DIV/0!</v>
      </c>
      <c r="S48" s="3874"/>
      <c r="T48" s="3874"/>
      <c r="U48" s="3874"/>
      <c r="V48" s="3874"/>
      <c r="W48" s="387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11" t="s">
        <v>1879</v>
      </c>
      <c r="H55" s="3875"/>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40"/>
      <c r="H56" s="385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76" t="s">
        <v>1911</v>
      </c>
      <c r="D6" s="3877"/>
      <c r="E6" s="3878" t="s">
        <v>1911</v>
      </c>
      <c r="F6" s="3879"/>
      <c r="G6" s="3876" t="s">
        <v>1911</v>
      </c>
      <c r="H6" s="3877"/>
      <c r="I6" s="3876" t="s">
        <v>1911</v>
      </c>
      <c r="J6" s="3877"/>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7" t="s">
        <v>1678</v>
      </c>
      <c r="Q8" s="3839"/>
      <c r="R8" s="701" t="s">
        <v>14</v>
      </c>
      <c r="S8" s="702">
        <f t="shared" si="0"/>
        <v>0</v>
      </c>
      <c r="T8" s="701" t="s">
        <v>14</v>
      </c>
      <c r="U8" s="702">
        <f t="shared" si="1"/>
        <v>0</v>
      </c>
      <c r="V8" s="701" t="s">
        <v>14</v>
      </c>
      <c r="W8" s="702">
        <f t="shared" si="2"/>
        <v>0</v>
      </c>
      <c r="X8" s="703"/>
      <c r="Y8" s="3837" t="s">
        <v>1678</v>
      </c>
      <c r="Z8" s="3839"/>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0"/>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4"/>
      <c r="Q19" s="1352" t="str">
        <f t="shared" ref="Q19:Q33" si="8">B19</f>
        <v>区域土地利用方向</v>
      </c>
      <c r="R19" s="705" t="s">
        <v>14</v>
      </c>
      <c r="S19" s="706">
        <f>F19</f>
        <v>100</v>
      </c>
      <c r="T19" s="705" t="s">
        <v>14</v>
      </c>
      <c r="U19" s="706">
        <f>H19</f>
        <v>100</v>
      </c>
      <c r="V19" s="705" t="s">
        <v>14</v>
      </c>
      <c r="W19" s="706">
        <f>J19</f>
        <v>100</v>
      </c>
      <c r="X19" s="1355"/>
      <c r="Y19" s="38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4"/>
      <c r="Q20" s="1352"/>
      <c r="R20" s="705"/>
      <c r="S20" s="706"/>
      <c r="T20" s="705"/>
      <c r="U20" s="706"/>
      <c r="V20" s="705"/>
      <c r="W20" s="706"/>
      <c r="X20" s="1355"/>
      <c r="Y20" s="384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4"/>
      <c r="Q21" s="1352" t="str">
        <f t="shared" si="8"/>
        <v>环境状况</v>
      </c>
      <c r="R21" s="705" t="s">
        <v>14</v>
      </c>
      <c r="S21" s="706">
        <f>F21</f>
        <v>100</v>
      </c>
      <c r="T21" s="705" t="s">
        <v>14</v>
      </c>
      <c r="U21" s="706">
        <f>H21</f>
        <v>100</v>
      </c>
      <c r="V21" s="705" t="s">
        <v>14</v>
      </c>
      <c r="W21" s="706">
        <f>J21</f>
        <v>100</v>
      </c>
      <c r="X21" s="1355"/>
      <c r="Y21" s="38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4"/>
      <c r="Q23" s="1343" t="str">
        <f t="shared" si="8"/>
        <v>公共配套设施</v>
      </c>
      <c r="R23" s="701" t="s">
        <v>14</v>
      </c>
      <c r="S23" s="702">
        <f>F23</f>
        <v>100</v>
      </c>
      <c r="T23" s="701" t="s">
        <v>14</v>
      </c>
      <c r="U23" s="702">
        <f>H23</f>
        <v>100</v>
      </c>
      <c r="V23" s="701" t="s">
        <v>14</v>
      </c>
      <c r="W23" s="702">
        <f>J23</f>
        <v>100</v>
      </c>
      <c r="X23" s="703"/>
      <c r="Y23" s="384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4"/>
      <c r="Q24" s="1343"/>
      <c r="R24" s="701"/>
      <c r="S24" s="702"/>
      <c r="T24" s="701"/>
      <c r="U24" s="702"/>
      <c r="V24" s="701"/>
      <c r="W24" s="702"/>
      <c r="X24" s="703"/>
      <c r="Y24" s="384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4"/>
      <c r="Q25" s="1343" t="str">
        <f t="shared" ref="Q25" si="9">B25</f>
        <v>基础设施水平</v>
      </c>
      <c r="R25" s="701" t="s">
        <v>14</v>
      </c>
      <c r="S25" s="702">
        <f>F25</f>
        <v>100</v>
      </c>
      <c r="T25" s="701" t="s">
        <v>14</v>
      </c>
      <c r="U25" s="702">
        <f>H25</f>
        <v>100</v>
      </c>
      <c r="V25" s="701" t="s">
        <v>14</v>
      </c>
      <c r="W25" s="702">
        <f>J25</f>
        <v>100</v>
      </c>
      <c r="X25" s="703"/>
      <c r="Y25" s="384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4"/>
      <c r="Q26" s="1343"/>
      <c r="R26" s="701"/>
      <c r="S26" s="702"/>
      <c r="T26" s="701"/>
      <c r="U26" s="702"/>
      <c r="V26" s="701"/>
      <c r="W26" s="702"/>
      <c r="X26" s="703"/>
      <c r="Y26" s="384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4"/>
      <c r="Q28" s="1352" t="str">
        <f t="shared" si="8"/>
        <v>毗邻道路的类型与等级</v>
      </c>
      <c r="R28" s="705" t="s">
        <v>14</v>
      </c>
      <c r="S28" s="706">
        <f t="shared" si="10"/>
        <v>100</v>
      </c>
      <c r="T28" s="705" t="s">
        <v>14</v>
      </c>
      <c r="U28" s="706">
        <f t="shared" si="11"/>
        <v>100</v>
      </c>
      <c r="V28" s="705" t="s">
        <v>14</v>
      </c>
      <c r="W28" s="706">
        <f t="shared" si="12"/>
        <v>100</v>
      </c>
      <c r="X28" s="1355"/>
      <c r="Y28" s="38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4"/>
      <c r="Q29" s="1352"/>
      <c r="R29" s="705"/>
      <c r="S29" s="706"/>
      <c r="T29" s="705"/>
      <c r="U29" s="706"/>
      <c r="V29" s="705"/>
      <c r="W29" s="706"/>
      <c r="X29" s="1355"/>
      <c r="Y29" s="384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4"/>
      <c r="Q30" s="1352" t="str">
        <f t="shared" si="8"/>
        <v>土地级别</v>
      </c>
      <c r="R30" s="705" t="s">
        <v>14</v>
      </c>
      <c r="S30" s="706">
        <f t="shared" si="10"/>
        <v>100</v>
      </c>
      <c r="T30" s="705" t="s">
        <v>14</v>
      </c>
      <c r="U30" s="706">
        <f t="shared" si="11"/>
        <v>100</v>
      </c>
      <c r="V30" s="705" t="s">
        <v>14</v>
      </c>
      <c r="W30" s="706">
        <f t="shared" si="12"/>
        <v>100</v>
      </c>
      <c r="X30" s="1355"/>
      <c r="Y30" s="384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4"/>
      <c r="Q31" s="1352">
        <f t="shared" si="8"/>
        <v>111</v>
      </c>
      <c r="R31" s="705" t="s">
        <v>14</v>
      </c>
      <c r="S31" s="706">
        <f t="shared" si="10"/>
        <v>100</v>
      </c>
      <c r="T31" s="705" t="s">
        <v>14</v>
      </c>
      <c r="U31" s="706">
        <f t="shared" si="11"/>
        <v>100</v>
      </c>
      <c r="V31" s="705" t="s">
        <v>14</v>
      </c>
      <c r="W31" s="706">
        <f t="shared" si="12"/>
        <v>100</v>
      </c>
      <c r="X31" s="1355"/>
      <c r="Y31" s="384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1" t="s">
        <v>1691</v>
      </c>
      <c r="Q32" s="1352">
        <f t="shared" si="8"/>
        <v>111</v>
      </c>
      <c r="R32" s="705" t="s">
        <v>14</v>
      </c>
      <c r="S32" s="706">
        <f t="shared" si="10"/>
        <v>100</v>
      </c>
      <c r="T32" s="705" t="s">
        <v>14</v>
      </c>
      <c r="U32" s="706">
        <f t="shared" si="11"/>
        <v>100</v>
      </c>
      <c r="V32" s="705" t="s">
        <v>14</v>
      </c>
      <c r="W32" s="706">
        <f t="shared" si="12"/>
        <v>100</v>
      </c>
      <c r="X32" s="1355"/>
      <c r="Y32" s="384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48"/>
      <c r="Q33" s="1352">
        <f t="shared" si="8"/>
        <v>111</v>
      </c>
      <c r="R33" s="708" t="s">
        <v>14</v>
      </c>
      <c r="S33" s="709">
        <f t="shared" si="10"/>
        <v>100</v>
      </c>
      <c r="T33" s="708" t="s">
        <v>14</v>
      </c>
      <c r="U33" s="709">
        <f t="shared" si="11"/>
        <v>100</v>
      </c>
      <c r="V33" s="708" t="s">
        <v>14</v>
      </c>
      <c r="W33" s="709">
        <f t="shared" si="12"/>
        <v>100</v>
      </c>
      <c r="X33" s="710"/>
      <c r="Y33" s="384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48"/>
      <c r="Q34" s="1352" t="str">
        <f>B34</f>
        <v>宗地面积</v>
      </c>
      <c r="R34" s="705" t="s">
        <v>14</v>
      </c>
      <c r="S34" s="706" t="e">
        <f t="shared" si="10"/>
        <v>#N/A</v>
      </c>
      <c r="T34" s="705" t="s">
        <v>14</v>
      </c>
      <c r="U34" s="706" t="e">
        <f t="shared" si="11"/>
        <v>#N/A</v>
      </c>
      <c r="V34" s="705" t="s">
        <v>14</v>
      </c>
      <c r="W34" s="706" t="e">
        <f t="shared" si="12"/>
        <v>#N/A</v>
      </c>
      <c r="X34" s="1355"/>
      <c r="Y34" s="384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48"/>
      <c r="Q35" s="1352" t="str">
        <f t="shared" ref="Q35:Q40" si="14">B35</f>
        <v>宗地形状</v>
      </c>
      <c r="R35" s="705" t="s">
        <v>14</v>
      </c>
      <c r="S35" s="706">
        <f t="shared" si="10"/>
        <v>100</v>
      </c>
      <c r="T35" s="705" t="s">
        <v>14</v>
      </c>
      <c r="U35" s="706">
        <f t="shared" si="11"/>
        <v>100</v>
      </c>
      <c r="V35" s="705" t="s">
        <v>14</v>
      </c>
      <c r="W35" s="706">
        <f t="shared" si="12"/>
        <v>100</v>
      </c>
      <c r="X35" s="1355"/>
      <c r="Y35" s="384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48"/>
      <c r="Q36" s="1352" t="str">
        <f t="shared" si="14"/>
        <v>宗地开发程度</v>
      </c>
      <c r="R36" s="701" t="s">
        <v>14</v>
      </c>
      <c r="S36" s="702">
        <f t="shared" si="10"/>
        <v>100</v>
      </c>
      <c r="T36" s="701" t="s">
        <v>14</v>
      </c>
      <c r="U36" s="702">
        <f t="shared" si="11"/>
        <v>100</v>
      </c>
      <c r="V36" s="701" t="s">
        <v>14</v>
      </c>
      <c r="W36" s="702">
        <f t="shared" si="12"/>
        <v>100</v>
      </c>
      <c r="X36" s="703"/>
      <c r="Y36" s="384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48" t="s">
        <v>1691</v>
      </c>
      <c r="Q37" s="1352" t="str">
        <f t="shared" si="14"/>
        <v>工程地质条件</v>
      </c>
      <c r="R37" s="705" t="s">
        <v>14</v>
      </c>
      <c r="S37" s="706">
        <f t="shared" si="10"/>
        <v>100</v>
      </c>
      <c r="T37" s="705" t="s">
        <v>14</v>
      </c>
      <c r="U37" s="706">
        <f t="shared" si="11"/>
        <v>100</v>
      </c>
      <c r="V37" s="705" t="s">
        <v>14</v>
      </c>
      <c r="W37" s="706">
        <f t="shared" si="12"/>
        <v>100</v>
      </c>
      <c r="X37" s="1355"/>
      <c r="Y37" s="384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48"/>
      <c r="Q38" s="1352">
        <f t="shared" si="14"/>
        <v>111</v>
      </c>
      <c r="R38" s="705" t="s">
        <v>14</v>
      </c>
      <c r="S38" s="706">
        <f t="shared" si="10"/>
        <v>100</v>
      </c>
      <c r="T38" s="705" t="s">
        <v>14</v>
      </c>
      <c r="U38" s="706">
        <f t="shared" si="11"/>
        <v>100</v>
      </c>
      <c r="V38" s="705" t="s">
        <v>14</v>
      </c>
      <c r="W38" s="706">
        <f t="shared" si="12"/>
        <v>100</v>
      </c>
      <c r="X38" s="1355"/>
      <c r="Y38" s="38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48"/>
      <c r="Q39" s="1352">
        <f t="shared" si="14"/>
        <v>111</v>
      </c>
      <c r="R39" s="705" t="s">
        <v>14</v>
      </c>
      <c r="S39" s="706">
        <f t="shared" si="10"/>
        <v>100</v>
      </c>
      <c r="T39" s="705" t="s">
        <v>14</v>
      </c>
      <c r="U39" s="706">
        <f t="shared" si="11"/>
        <v>100</v>
      </c>
      <c r="V39" s="705" t="s">
        <v>14</v>
      </c>
      <c r="W39" s="706">
        <f t="shared" si="12"/>
        <v>100</v>
      </c>
      <c r="X39" s="1355"/>
      <c r="Y39" s="384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48"/>
      <c r="Q40" s="1352">
        <f t="shared" si="14"/>
        <v>111</v>
      </c>
      <c r="R40" s="708" t="s">
        <v>14</v>
      </c>
      <c r="S40" s="709">
        <f t="shared" si="10"/>
        <v>100</v>
      </c>
      <c r="T40" s="708" t="s">
        <v>14</v>
      </c>
      <c r="U40" s="709">
        <f t="shared" si="11"/>
        <v>100</v>
      </c>
      <c r="V40" s="708" t="s">
        <v>14</v>
      </c>
      <c r="W40" s="709">
        <f t="shared" si="12"/>
        <v>100</v>
      </c>
      <c r="X40" s="710"/>
      <c r="Y40" s="384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0" t="str">
        <f>A41</f>
        <v>成交单价</v>
      </c>
      <c r="Q41" s="3850"/>
      <c r="R41" s="3836">
        <f>E41</f>
        <v>0</v>
      </c>
      <c r="S41" s="3836"/>
      <c r="T41" s="3836">
        <f>G41</f>
        <v>0</v>
      </c>
      <c r="U41" s="3836"/>
      <c r="V41" s="3836">
        <f>I41</f>
        <v>0</v>
      </c>
      <c r="W41" s="3836"/>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0" t="str">
        <f>A42</f>
        <v>比较价值（元/平方米）</v>
      </c>
      <c r="Q42" s="3850"/>
      <c r="R42" s="3873" t="e">
        <f>ROUND(PRODUCT(R41,AA7:AA40),0)</f>
        <v>#DIV/0!</v>
      </c>
      <c r="S42" s="3873"/>
      <c r="T42" s="3873" t="e">
        <f>ROUND(PRODUCT(T41,AB7:AB40),0)</f>
        <v>#DIV/0!</v>
      </c>
      <c r="U42" s="3873"/>
      <c r="V42" s="3873" t="e">
        <f>ROUND(PRODUCT(V41,AC7:AC40),0)</f>
        <v>#DIV/0!</v>
      </c>
      <c r="W42" s="3873"/>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2" t="str">
        <f>A43</f>
        <v>估价对象XX用房的比较价值（楼面单价，元/平方米）</v>
      </c>
      <c r="Q43" s="3853"/>
      <c r="R43" s="3874" t="e">
        <f>ROUND(IF(D42="简单平均",AVERAGE(R42:W42),R42*F42+T42*H42+V42*J42),0)</f>
        <v>#DIV/0!</v>
      </c>
      <c r="S43" s="3874"/>
      <c r="T43" s="3874"/>
      <c r="U43" s="3874"/>
      <c r="V43" s="3874"/>
      <c r="W43" s="387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11" t="s">
        <v>1879</v>
      </c>
      <c r="H50" s="3875"/>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40"/>
      <c r="H51" s="385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估价结果一览表（市场价值不需“结果表-1”）</v>
      </c>
      <c r="B3" s="3555"/>
      <c r="C3" s="3555"/>
      <c r="D3" s="3555"/>
      <c r="E3" s="3555"/>
    </row>
    <row r="4" spans="1:5" ht="19.5" thickBot="1">
      <c r="A4" s="1493"/>
      <c r="B4" s="3553" t="s">
        <v>913</v>
      </c>
      <c r="C4" s="3553"/>
      <c r="D4" s="3553"/>
      <c r="E4" s="1493"/>
    </row>
    <row r="5" spans="1:5" ht="16.5" thickTop="1">
      <c r="A5" s="1491"/>
      <c r="B5" s="3551" t="s">
        <v>905</v>
      </c>
      <c r="C5" s="1494" t="s">
        <v>906</v>
      </c>
      <c r="D5" s="850" t="e">
        <f ca="1">结果表!H101</f>
        <v>#REF!</v>
      </c>
      <c r="E5" s="1491"/>
    </row>
    <row r="6" spans="1:5" ht="15.75">
      <c r="A6" s="1491"/>
      <c r="B6" s="3551"/>
      <c r="C6" s="1494" t="s">
        <v>907</v>
      </c>
      <c r="D6" s="850" t="e">
        <f ca="1">NUMBERSTRING(INT(D5*10000),2)&amp;"元整"</f>
        <v>#REF!</v>
      </c>
      <c r="E6" s="1491"/>
    </row>
    <row r="7" spans="1:5" ht="15.75">
      <c r="A7" s="1491"/>
      <c r="B7" s="3556"/>
      <c r="C7" s="1495" t="s">
        <v>908</v>
      </c>
      <c r="D7" s="851" t="e">
        <f ca="1">结果表!H102</f>
        <v>#REF!</v>
      </c>
      <c r="E7" s="1491"/>
    </row>
    <row r="8" spans="1:5" ht="15.75">
      <c r="A8" s="1491"/>
      <c r="B8" s="3557" t="str">
        <f>结果表!E103</f>
        <v>2.估价师知悉的法定优先受偿款</v>
      </c>
      <c r="C8" s="1496" t="s">
        <v>909</v>
      </c>
      <c r="D8" s="851">
        <f>结果表!H103</f>
        <v>0</v>
      </c>
      <c r="E8" s="1491"/>
    </row>
    <row r="9" spans="1:5" ht="15.75">
      <c r="A9" s="1491"/>
      <c r="B9" s="3559"/>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0" t="str">
        <f>结果表!E107</f>
        <v>3.房地产抵押价值</v>
      </c>
      <c r="C13" s="1499" t="s">
        <v>906</v>
      </c>
      <c r="D13" s="853" t="e">
        <f ca="1">结果表!H107</f>
        <v>#REF!</v>
      </c>
      <c r="E13" s="1491"/>
    </row>
    <row r="14" spans="1:5" ht="15.75">
      <c r="A14" s="1491"/>
      <c r="B14" s="3551"/>
      <c r="C14" s="1494" t="s">
        <v>907</v>
      </c>
      <c r="D14" s="850" t="e">
        <f ca="1">NUMBERSTRING(INT(D13*10000),2)&amp;"元整"</f>
        <v>#REF!</v>
      </c>
      <c r="E14" s="1491"/>
    </row>
    <row r="15" spans="1:5" ht="15">
      <c r="A15" s="1491"/>
      <c r="B15" s="3556"/>
      <c r="C15" s="1495" t="s">
        <v>917</v>
      </c>
      <c r="D15" s="859" t="e">
        <f ca="1">结果表!H108</f>
        <v>#REF!</v>
      </c>
      <c r="E15" s="1491"/>
    </row>
    <row r="16" spans="1:5" ht="15">
      <c r="A16" s="1491"/>
      <c r="B16" s="3557" t="str">
        <f>结果表!E109</f>
        <v>——</v>
      </c>
      <c r="C16" s="1499" t="s">
        <v>918</v>
      </c>
      <c r="D16" s="1500" t="str">
        <f>结果表!H109</f>
        <v>——</v>
      </c>
      <c r="E16" s="1491"/>
    </row>
    <row r="17" spans="1:5" ht="15.75">
      <c r="A17" s="1491"/>
      <c r="B17" s="3558"/>
      <c r="C17" s="1494" t="s">
        <v>919</v>
      </c>
      <c r="D17" s="850" t="e">
        <f>NUMBERSTRING(INT(D16*10000),2)&amp;"元整"</f>
        <v>#VALUE!</v>
      </c>
      <c r="E17" s="1491"/>
    </row>
    <row r="18" spans="1:5" ht="15">
      <c r="A18" s="1491"/>
      <c r="B18" s="3559"/>
      <c r="C18" s="1495" t="s">
        <v>908</v>
      </c>
      <c r="D18" s="859" t="str">
        <f>结果表!H110</f>
        <v>——</v>
      </c>
      <c r="E18" s="1491"/>
    </row>
    <row r="19" spans="1:5" ht="15.75">
      <c r="A19" s="1491"/>
      <c r="B19" s="3550" t="str">
        <f>结果表!E111</f>
        <v>——</v>
      </c>
      <c r="C19" s="1499" t="s">
        <v>906</v>
      </c>
      <c r="D19" s="851" t="str">
        <f>结果表!H111</f>
        <v>——</v>
      </c>
      <c r="E19" s="1491"/>
    </row>
    <row r="20" spans="1:5" ht="15.75">
      <c r="A20" s="1491"/>
      <c r="B20" s="3551"/>
      <c r="C20" s="1494" t="s">
        <v>919</v>
      </c>
      <c r="D20" s="850" t="e">
        <f>NUMBERSTRING(INT(D19*10000),2)&amp;"元整"</f>
        <v>#VALUE!</v>
      </c>
      <c r="E20" s="1491"/>
    </row>
    <row r="21" spans="1:5" ht="15.75" thickBot="1">
      <c r="A21" s="1491"/>
      <c r="B21" s="3552"/>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3" t="s">
        <v>2076</v>
      </c>
      <c r="D1" s="3884"/>
      <c r="E1" s="3884"/>
      <c r="F1" s="3884"/>
      <c r="G1" s="3884"/>
      <c r="H1" s="3884"/>
      <c r="I1" s="3884"/>
      <c r="J1" s="3884"/>
      <c r="K1" s="3884"/>
      <c r="L1" s="3884"/>
      <c r="M1" s="3884"/>
      <c r="N1" s="3884"/>
      <c r="O1" s="3884"/>
      <c r="P1" s="3884"/>
      <c r="Q1" s="3884"/>
      <c r="R1" s="3884"/>
      <c r="S1" s="388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0" t="s">
        <v>23</v>
      </c>
      <c r="D22" s="3881"/>
      <c r="E22" s="3881"/>
      <c r="F22" s="3881"/>
      <c r="G22" s="3881"/>
      <c r="H22" s="3881"/>
      <c r="I22" s="3881"/>
      <c r="J22" s="3881"/>
      <c r="K22" s="3881"/>
      <c r="L22" s="3881"/>
      <c r="M22" s="3881"/>
      <c r="N22" s="3881"/>
      <c r="O22" s="3881"/>
      <c r="P22" s="3881"/>
      <c r="Q22" s="388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893"/>
      <c r="B4" s="3894"/>
      <c r="C4" s="3894"/>
      <c r="D4" s="3895"/>
      <c r="E4" s="3895"/>
      <c r="F4" s="3895"/>
      <c r="G4" s="3895"/>
      <c r="H4" s="3895"/>
      <c r="I4" s="3895"/>
      <c r="J4" s="389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0" t="s">
        <v>1952</v>
      </c>
      <c r="X8" s="389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92"/>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9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897" t="s">
        <v>3254</v>
      </c>
      <c r="B20" s="167" t="s">
        <v>1986</v>
      </c>
      <c r="C20" s="3322" t="e">
        <f>ROUND(IF(F21="与级别开发程度一致",0,(G21-E21)/C21),0)</f>
        <v>#DIV/0!</v>
      </c>
      <c r="D20" s="3338" t="s">
        <v>1990</v>
      </c>
      <c r="E20" s="3339"/>
      <c r="F20" s="3903" t="s">
        <v>1987</v>
      </c>
      <c r="G20" s="3904"/>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89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44963</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0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99" t="s">
        <v>3294</v>
      </c>
      <c r="B103" s="3899"/>
      <c r="C103" s="3899"/>
      <c r="D103" s="3899"/>
      <c r="E103" s="3899"/>
      <c r="F103" s="3899"/>
      <c r="G103" s="3899"/>
      <c r="H103" s="3899"/>
      <c r="I103" s="3899"/>
      <c r="J103" s="3899"/>
      <c r="K103" s="3387"/>
      <c r="L103" s="3387"/>
      <c r="M103" s="3387"/>
      <c r="N103" s="3387"/>
    </row>
    <row r="104" spans="1:14">
      <c r="A104" s="3900" t="s">
        <v>3295</v>
      </c>
      <c r="B104" s="3900" t="s">
        <v>3296</v>
      </c>
      <c r="C104" s="3388" t="s">
        <v>3297</v>
      </c>
      <c r="D104" s="3389"/>
      <c r="E104" s="3389"/>
      <c r="F104" s="3389"/>
      <c r="G104" s="3389"/>
      <c r="H104" s="3389"/>
      <c r="I104" s="3389"/>
      <c r="J104" s="3390"/>
      <c r="K104" s="3391"/>
      <c r="L104" s="3391"/>
      <c r="M104" s="3391"/>
      <c r="N104" s="3391"/>
    </row>
    <row r="105" spans="1:14">
      <c r="A105" s="3900"/>
      <c r="B105" s="3900"/>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86"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8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8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8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8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87"/>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8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89" t="s">
        <v>3311</v>
      </c>
      <c r="B113" s="3889"/>
      <c r="C113" s="3889"/>
      <c r="D113" s="3889"/>
      <c r="E113" s="3889"/>
      <c r="F113" s="3889"/>
      <c r="G113" s="3889"/>
      <c r="H113" s="3889"/>
      <c r="I113" s="3889"/>
      <c r="J113" s="388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12" t="s">
        <v>2603</v>
      </c>
      <c r="B20" s="3905" t="s">
        <v>2624</v>
      </c>
      <c r="C20" s="3100" t="s">
        <v>2435</v>
      </c>
      <c r="D20" s="3101"/>
      <c r="E20" s="3102">
        <v>1</v>
      </c>
      <c r="F20" s="3103" t="s">
        <v>2436</v>
      </c>
      <c r="G20" s="3103"/>
    </row>
    <row r="21" spans="1:13" ht="19.5" customHeight="1">
      <c r="A21" s="3913"/>
      <c r="B21" s="3906"/>
      <c r="C21" s="3104" t="s">
        <v>2437</v>
      </c>
      <c r="D21" s="3105"/>
      <c r="E21" s="3106">
        <v>1</v>
      </c>
      <c r="F21" s="3103" t="s">
        <v>2438</v>
      </c>
      <c r="G21" s="3103"/>
    </row>
    <row r="22" spans="1:13" ht="19.5" customHeight="1">
      <c r="A22" s="3913"/>
      <c r="B22" s="3906"/>
      <c r="C22" s="3104" t="s">
        <v>2439</v>
      </c>
      <c r="D22" s="3105"/>
      <c r="E22" s="3106">
        <v>0.9</v>
      </c>
      <c r="F22" s="3103" t="s">
        <v>2440</v>
      </c>
      <c r="G22" s="3103"/>
    </row>
    <row r="23" spans="1:13" ht="19.5" customHeight="1">
      <c r="A23" s="3913"/>
      <c r="B23" s="3906"/>
      <c r="C23" s="3104" t="s">
        <v>2441</v>
      </c>
      <c r="D23" s="3105"/>
      <c r="E23" s="3106">
        <v>0.9</v>
      </c>
      <c r="F23" s="3103" t="s">
        <v>2442</v>
      </c>
      <c r="G23" s="3103"/>
    </row>
    <row r="24" spans="1:13" ht="19.5" customHeight="1">
      <c r="A24" s="3913"/>
      <c r="B24" s="3906"/>
      <c r="C24" s="3104" t="s">
        <v>2443</v>
      </c>
      <c r="D24" s="3105"/>
      <c r="E24" s="3106">
        <v>0.8</v>
      </c>
      <c r="F24" s="3103" t="s">
        <v>2444</v>
      </c>
      <c r="G24" s="3103"/>
    </row>
    <row r="25" spans="1:13" ht="19.5" customHeight="1" thickBot="1">
      <c r="A25" s="3914"/>
      <c r="B25" s="3907"/>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08" t="s">
        <v>2627</v>
      </c>
      <c r="B27" s="3905" t="s">
        <v>2608</v>
      </c>
      <c r="C27" s="3100" t="s">
        <v>2448</v>
      </c>
      <c r="D27" s="3101"/>
      <c r="E27" s="3102">
        <v>1</v>
      </c>
      <c r="F27" s="3103" t="s">
        <v>2449</v>
      </c>
      <c r="G27" s="3103"/>
    </row>
    <row r="28" spans="1:13" ht="19.5" customHeight="1">
      <c r="A28" s="3909"/>
      <c r="B28" s="3906"/>
      <c r="C28" s="3104" t="s">
        <v>2450</v>
      </c>
      <c r="D28" s="3105"/>
      <c r="E28" s="3106">
        <v>1</v>
      </c>
      <c r="F28" s="3103" t="s">
        <v>2451</v>
      </c>
      <c r="G28" s="3103"/>
    </row>
    <row r="29" spans="1:13" ht="19.5" customHeight="1">
      <c r="A29" s="3909"/>
      <c r="B29" s="3906"/>
      <c r="C29" s="3104" t="s">
        <v>2452</v>
      </c>
      <c r="D29" s="3105"/>
      <c r="E29" s="3106">
        <v>0.8</v>
      </c>
      <c r="F29" s="3103" t="s">
        <v>2453</v>
      </c>
      <c r="G29" s="3103"/>
    </row>
    <row r="30" spans="1:13" ht="19.5" customHeight="1">
      <c r="A30" s="3909"/>
      <c r="B30" s="3906"/>
      <c r="C30" s="3104" t="s">
        <v>2454</v>
      </c>
      <c r="D30" s="3105"/>
      <c r="E30" s="3106">
        <v>0.8</v>
      </c>
      <c r="F30" s="3103" t="s">
        <v>2455</v>
      </c>
      <c r="G30" s="3103"/>
    </row>
    <row r="31" spans="1:13" ht="19.5" customHeight="1">
      <c r="A31" s="3909"/>
      <c r="B31" s="3906"/>
      <c r="C31" s="3104" t="s">
        <v>2456</v>
      </c>
      <c r="D31" s="3105"/>
      <c r="E31" s="3106">
        <v>0.8</v>
      </c>
      <c r="F31" s="3103" t="s">
        <v>2457</v>
      </c>
      <c r="G31" s="3103"/>
    </row>
    <row r="32" spans="1:13" ht="19.5" customHeight="1">
      <c r="A32" s="3909"/>
      <c r="B32" s="3906"/>
      <c r="C32" s="3104" t="s">
        <v>2458</v>
      </c>
      <c r="D32" s="3105"/>
      <c r="E32" s="3106">
        <v>0.7</v>
      </c>
      <c r="F32" s="3103" t="s">
        <v>2459</v>
      </c>
      <c r="G32" s="3103"/>
    </row>
    <row r="33" spans="1:7" ht="19.5" customHeight="1">
      <c r="A33" s="3909"/>
      <c r="B33" s="3906"/>
      <c r="C33" s="3104" t="s">
        <v>2460</v>
      </c>
      <c r="D33" s="3105"/>
      <c r="E33" s="3106">
        <v>0.8</v>
      </c>
      <c r="F33" s="3103" t="s">
        <v>2461</v>
      </c>
      <c r="G33" s="3103"/>
    </row>
    <row r="34" spans="1:7" ht="19.5" customHeight="1">
      <c r="A34" s="3909"/>
      <c r="B34" s="3906"/>
      <c r="C34" s="3104" t="s">
        <v>2462</v>
      </c>
      <c r="D34" s="3105"/>
      <c r="E34" s="3106">
        <v>0.6</v>
      </c>
      <c r="F34" s="3103" t="s">
        <v>2463</v>
      </c>
      <c r="G34" s="3103"/>
    </row>
    <row r="35" spans="1:7" ht="19.5" customHeight="1">
      <c r="A35" s="3909"/>
      <c r="B35" s="3906"/>
      <c r="C35" s="3104" t="s">
        <v>2464</v>
      </c>
      <c r="D35" s="3105"/>
      <c r="E35" s="3106">
        <v>0.2</v>
      </c>
      <c r="F35" s="3103" t="s">
        <v>2465</v>
      </c>
      <c r="G35" s="3103"/>
    </row>
    <row r="36" spans="1:7" ht="19.5" customHeight="1">
      <c r="A36" s="3909"/>
      <c r="B36" s="3906"/>
      <c r="C36" s="3104" t="s">
        <v>2466</v>
      </c>
      <c r="D36" s="3105"/>
      <c r="E36" s="3106">
        <v>0.2</v>
      </c>
      <c r="F36" s="3103" t="s">
        <v>2467</v>
      </c>
      <c r="G36" s="3103"/>
    </row>
    <row r="37" spans="1:7" ht="19.5" customHeight="1">
      <c r="A37" s="3909"/>
      <c r="B37" s="3911" t="s">
        <v>2628</v>
      </c>
      <c r="C37" s="3104" t="s">
        <v>2468</v>
      </c>
      <c r="D37" s="3105"/>
      <c r="E37" s="3106">
        <v>0.6</v>
      </c>
      <c r="F37" s="3103" t="s">
        <v>2469</v>
      </c>
      <c r="G37" s="3103"/>
    </row>
    <row r="38" spans="1:7" ht="19.5" customHeight="1">
      <c r="A38" s="3909"/>
      <c r="B38" s="3906"/>
      <c r="C38" s="3104" t="s">
        <v>2470</v>
      </c>
      <c r="D38" s="3105"/>
      <c r="E38" s="3106">
        <v>0.6</v>
      </c>
      <c r="F38" s="3103" t="s">
        <v>2471</v>
      </c>
      <c r="G38" s="3103"/>
    </row>
    <row r="39" spans="1:7" ht="19.5" customHeight="1" thickBot="1">
      <c r="A39" s="3910"/>
      <c r="B39" s="3907"/>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12" t="s">
        <v>2606</v>
      </c>
      <c r="B41" s="3905" t="s">
        <v>2630</v>
      </c>
      <c r="C41" s="3100" t="s">
        <v>2475</v>
      </c>
      <c r="D41" s="3101"/>
      <c r="E41" s="3102">
        <v>1</v>
      </c>
      <c r="F41" s="3103" t="s">
        <v>2476</v>
      </c>
      <c r="G41" s="3103"/>
    </row>
    <row r="42" spans="1:7" ht="19.5" customHeight="1">
      <c r="A42" s="3913"/>
      <c r="B42" s="3906"/>
      <c r="C42" s="3104" t="s">
        <v>2477</v>
      </c>
      <c r="D42" s="3105"/>
      <c r="E42" s="3106">
        <v>1</v>
      </c>
      <c r="F42" s="3103" t="s">
        <v>2478</v>
      </c>
      <c r="G42" s="3103"/>
    </row>
    <row r="43" spans="1:7" ht="19.5" customHeight="1">
      <c r="A43" s="3913"/>
      <c r="B43" s="3915"/>
      <c r="C43" s="3104" t="s">
        <v>2479</v>
      </c>
      <c r="D43" s="3105"/>
      <c r="E43" s="3106">
        <v>1.5</v>
      </c>
      <c r="F43" s="3103" t="s">
        <v>2480</v>
      </c>
      <c r="G43" s="3103"/>
    </row>
    <row r="44" spans="1:7" ht="19.5" customHeight="1">
      <c r="A44" s="3913"/>
      <c r="B44" s="3115" t="s">
        <v>2631</v>
      </c>
      <c r="C44" s="3104" t="s">
        <v>2632</v>
      </c>
      <c r="D44" s="3105"/>
      <c r="E44" s="3106">
        <v>2</v>
      </c>
      <c r="F44" s="3103" t="s">
        <v>2481</v>
      </c>
      <c r="G44" s="3103"/>
    </row>
    <row r="45" spans="1:7" ht="19.5" customHeight="1">
      <c r="A45" s="3913"/>
      <c r="B45" s="3911" t="s">
        <v>2633</v>
      </c>
      <c r="C45" s="3104" t="s">
        <v>2482</v>
      </c>
      <c r="D45" s="3105"/>
      <c r="E45" s="3106">
        <v>1</v>
      </c>
      <c r="F45" s="3103" t="s">
        <v>2483</v>
      </c>
      <c r="G45" s="3103"/>
    </row>
    <row r="46" spans="1:7" ht="19.5" customHeight="1">
      <c r="A46" s="3913"/>
      <c r="B46" s="3906"/>
      <c r="C46" s="3104" t="s">
        <v>2484</v>
      </c>
      <c r="D46" s="3105"/>
      <c r="E46" s="3106">
        <v>1</v>
      </c>
      <c r="F46" s="3103" t="s">
        <v>2485</v>
      </c>
      <c r="G46" s="3103"/>
    </row>
    <row r="47" spans="1:7" ht="19.5" customHeight="1">
      <c r="A47" s="3913"/>
      <c r="B47" s="3906"/>
      <c r="C47" s="3104" t="s">
        <v>2486</v>
      </c>
      <c r="D47" s="3105"/>
      <c r="E47" s="3106">
        <v>1</v>
      </c>
      <c r="F47" s="3103" t="s">
        <v>2487</v>
      </c>
      <c r="G47" s="3103"/>
    </row>
    <row r="48" spans="1:7" ht="19.5" customHeight="1">
      <c r="A48" s="3913"/>
      <c r="B48" s="3906"/>
      <c r="C48" s="3104" t="s">
        <v>2488</v>
      </c>
      <c r="D48" s="3105"/>
      <c r="E48" s="3106">
        <v>1</v>
      </c>
      <c r="F48" s="3103" t="s">
        <v>2489</v>
      </c>
      <c r="G48" s="3103"/>
    </row>
    <row r="49" spans="1:7" ht="19.5" customHeight="1">
      <c r="A49" s="3913"/>
      <c r="B49" s="3906"/>
      <c r="C49" s="3104" t="s">
        <v>2490</v>
      </c>
      <c r="D49" s="3105"/>
      <c r="E49" s="3106">
        <v>1</v>
      </c>
      <c r="F49" s="3103" t="s">
        <v>2491</v>
      </c>
      <c r="G49" s="3103"/>
    </row>
    <row r="50" spans="1:7" ht="19.5" customHeight="1">
      <c r="A50" s="3913"/>
      <c r="B50" s="3906"/>
      <c r="C50" s="3104" t="s">
        <v>2492</v>
      </c>
      <c r="D50" s="3105"/>
      <c r="E50" s="3106">
        <v>1</v>
      </c>
      <c r="F50" s="3103" t="s">
        <v>2493</v>
      </c>
      <c r="G50" s="3103"/>
    </row>
    <row r="51" spans="1:7" ht="19.5" customHeight="1" thickBot="1">
      <c r="A51" s="3914"/>
      <c r="B51" s="3907"/>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1" t="s">
        <v>2647</v>
      </c>
      <c r="C73" s="3089" t="s">
        <v>2648</v>
      </c>
      <c r="D73" s="3089" t="s">
        <v>2649</v>
      </c>
      <c r="E73" s="3115">
        <v>0.2</v>
      </c>
      <c r="F73" s="3115">
        <v>25</v>
      </c>
    </row>
    <row r="74" spans="1:7" ht="24">
      <c r="A74" s="3115">
        <v>2</v>
      </c>
      <c r="B74" s="3906"/>
      <c r="C74" s="3089" t="s">
        <v>2650</v>
      </c>
      <c r="D74" s="3089" t="s">
        <v>2651</v>
      </c>
      <c r="E74" s="3115">
        <v>0.2</v>
      </c>
      <c r="F74" s="3115">
        <v>25</v>
      </c>
    </row>
    <row r="75" spans="1:7" ht="24">
      <c r="A75" s="3115">
        <v>3</v>
      </c>
      <c r="B75" s="3906"/>
      <c r="C75" s="3089" t="s">
        <v>2652</v>
      </c>
      <c r="D75" s="3089" t="s">
        <v>2653</v>
      </c>
      <c r="E75" s="3115">
        <v>0.2</v>
      </c>
      <c r="F75" s="3115">
        <v>25</v>
      </c>
    </row>
    <row r="76" spans="1:7" ht="13.5">
      <c r="A76" s="3115">
        <v>4</v>
      </c>
      <c r="B76" s="3906"/>
      <c r="C76" s="3089" t="s">
        <v>2654</v>
      </c>
      <c r="D76" s="3089" t="s">
        <v>2655</v>
      </c>
      <c r="E76" s="3115">
        <v>0.15</v>
      </c>
      <c r="F76" s="3115">
        <v>20</v>
      </c>
    </row>
    <row r="77" spans="1:7" ht="24">
      <c r="A77" s="3115">
        <v>5</v>
      </c>
      <c r="B77" s="3906"/>
      <c r="C77" s="3089" t="s">
        <v>2656</v>
      </c>
      <c r="D77" s="3089" t="s">
        <v>2657</v>
      </c>
      <c r="E77" s="3115">
        <v>0.15</v>
      </c>
      <c r="F77" s="3115">
        <v>20</v>
      </c>
    </row>
    <row r="78" spans="1:7" ht="24">
      <c r="A78" s="3115">
        <v>6</v>
      </c>
      <c r="B78" s="3906"/>
      <c r="C78" s="3089" t="s">
        <v>2658</v>
      </c>
      <c r="D78" s="3089" t="s">
        <v>2659</v>
      </c>
      <c r="E78" s="3115">
        <v>0.15</v>
      </c>
      <c r="F78" s="3115">
        <v>20</v>
      </c>
    </row>
    <row r="79" spans="1:7" ht="24">
      <c r="A79" s="3115">
        <v>7</v>
      </c>
      <c r="B79" s="3906"/>
      <c r="C79" s="3089" t="s">
        <v>2660</v>
      </c>
      <c r="D79" s="3089" t="s">
        <v>2661</v>
      </c>
      <c r="E79" s="3115">
        <v>0.15</v>
      </c>
      <c r="F79" s="3115">
        <v>20</v>
      </c>
    </row>
    <row r="80" spans="1:7" ht="24">
      <c r="A80" s="3115">
        <v>8</v>
      </c>
      <c r="B80" s="3906"/>
      <c r="C80" s="3089" t="s">
        <v>2662</v>
      </c>
      <c r="D80" s="3089" t="s">
        <v>2663</v>
      </c>
      <c r="E80" s="3115">
        <v>0.1</v>
      </c>
      <c r="F80" s="3115">
        <v>15</v>
      </c>
    </row>
    <row r="81" spans="1:6" ht="24">
      <c r="A81" s="3115">
        <v>9</v>
      </c>
      <c r="B81" s="3906"/>
      <c r="C81" s="3089" t="s">
        <v>2664</v>
      </c>
      <c r="D81" s="3089" t="s">
        <v>2665</v>
      </c>
      <c r="E81" s="3115">
        <v>0.1</v>
      </c>
      <c r="F81" s="3115">
        <v>15</v>
      </c>
    </row>
    <row r="82" spans="1:6" ht="24">
      <c r="A82" s="3115">
        <v>10</v>
      </c>
      <c r="B82" s="3906"/>
      <c r="C82" s="3089" t="s">
        <v>2666</v>
      </c>
      <c r="D82" s="3089" t="s">
        <v>2667</v>
      </c>
      <c r="E82" s="3115">
        <v>0.1</v>
      </c>
      <c r="F82" s="3115">
        <v>15</v>
      </c>
    </row>
    <row r="83" spans="1:6" ht="24">
      <c r="A83" s="3115">
        <v>11</v>
      </c>
      <c r="B83" s="3906"/>
      <c r="C83" s="3089" t="s">
        <v>2668</v>
      </c>
      <c r="D83" s="3089" t="s">
        <v>2669</v>
      </c>
      <c r="E83" s="3115">
        <v>0.1</v>
      </c>
      <c r="F83" s="3115">
        <v>15</v>
      </c>
    </row>
    <row r="84" spans="1:6" ht="24">
      <c r="A84" s="3115">
        <v>12</v>
      </c>
      <c r="B84" s="3906"/>
      <c r="C84" s="3089" t="s">
        <v>2670</v>
      </c>
      <c r="D84" s="3089" t="s">
        <v>2671</v>
      </c>
      <c r="E84" s="3115">
        <v>0.1</v>
      </c>
      <c r="F84" s="3115">
        <v>15</v>
      </c>
    </row>
    <row r="85" spans="1:6" ht="13.5">
      <c r="A85" s="3115">
        <v>13</v>
      </c>
      <c r="B85" s="3906"/>
      <c r="C85" s="3089" t="s">
        <v>2672</v>
      </c>
      <c r="D85" s="3089" t="s">
        <v>2673</v>
      </c>
      <c r="E85" s="3115">
        <v>0.1</v>
      </c>
      <c r="F85" s="3115">
        <v>15</v>
      </c>
    </row>
    <row r="86" spans="1:6" ht="13.5">
      <c r="A86" s="3115">
        <v>14</v>
      </c>
      <c r="B86" s="3906"/>
      <c r="C86" s="3089" t="s">
        <v>2674</v>
      </c>
      <c r="D86" s="3089" t="s">
        <v>2675</v>
      </c>
      <c r="E86" s="3115">
        <v>0.1</v>
      </c>
      <c r="F86" s="3115">
        <v>15</v>
      </c>
    </row>
    <row r="87" spans="1:6" ht="13.5">
      <c r="A87" s="3115">
        <v>15</v>
      </c>
      <c r="B87" s="3906"/>
      <c r="C87" s="3089" t="s">
        <v>2676</v>
      </c>
      <c r="D87" s="3089" t="s">
        <v>2677</v>
      </c>
      <c r="E87" s="3115">
        <v>0.1</v>
      </c>
      <c r="F87" s="3115">
        <v>15</v>
      </c>
    </row>
    <row r="88" spans="1:6" ht="24">
      <c r="A88" s="3115">
        <v>16</v>
      </c>
      <c r="B88" s="3906"/>
      <c r="C88" s="3089" t="s">
        <v>2678</v>
      </c>
      <c r="D88" s="3089" t="s">
        <v>2679</v>
      </c>
      <c r="E88" s="3115">
        <v>0.1</v>
      </c>
      <c r="F88" s="3115">
        <v>15</v>
      </c>
    </row>
    <row r="89" spans="1:6" ht="24">
      <c r="A89" s="3115">
        <v>17</v>
      </c>
      <c r="B89" s="3915"/>
      <c r="C89" s="3089" t="s">
        <v>2680</v>
      </c>
      <c r="D89" s="3089" t="s">
        <v>2681</v>
      </c>
      <c r="E89" s="3115">
        <v>0.1</v>
      </c>
      <c r="F89" s="3115">
        <v>15</v>
      </c>
    </row>
    <row r="90" spans="1:6" ht="13.5">
      <c r="A90" s="3115">
        <v>18</v>
      </c>
      <c r="B90" s="3911" t="s">
        <v>2682</v>
      </c>
      <c r="C90" s="3089" t="s">
        <v>2683</v>
      </c>
      <c r="D90" s="3089" t="s">
        <v>2684</v>
      </c>
      <c r="E90" s="3115">
        <v>0.2</v>
      </c>
      <c r="F90" s="3115">
        <v>25</v>
      </c>
    </row>
    <row r="91" spans="1:6" ht="24">
      <c r="A91" s="3115">
        <v>19</v>
      </c>
      <c r="B91" s="3906"/>
      <c r="C91" s="3089" t="s">
        <v>2685</v>
      </c>
      <c r="D91" s="3089" t="s">
        <v>2686</v>
      </c>
      <c r="E91" s="3115">
        <v>0.2</v>
      </c>
      <c r="F91" s="3115">
        <v>25</v>
      </c>
    </row>
    <row r="92" spans="1:6" ht="13.5">
      <c r="A92" s="3115">
        <v>20</v>
      </c>
      <c r="B92" s="3906"/>
      <c r="C92" s="3089" t="s">
        <v>2687</v>
      </c>
      <c r="D92" s="3089" t="s">
        <v>2688</v>
      </c>
      <c r="E92" s="3115">
        <v>0.15</v>
      </c>
      <c r="F92" s="3115">
        <v>20</v>
      </c>
    </row>
    <row r="93" spans="1:6" ht="13.5">
      <c r="A93" s="3115">
        <v>21</v>
      </c>
      <c r="B93" s="3906"/>
      <c r="C93" s="3089" t="s">
        <v>2689</v>
      </c>
      <c r="D93" s="3089" t="s">
        <v>2690</v>
      </c>
      <c r="E93" s="3115">
        <v>0.15</v>
      </c>
      <c r="F93" s="3115">
        <v>20</v>
      </c>
    </row>
    <row r="94" spans="1:6" ht="13.5">
      <c r="A94" s="3115">
        <v>22</v>
      </c>
      <c r="B94" s="3906"/>
      <c r="C94" s="3089" t="s">
        <v>2691</v>
      </c>
      <c r="D94" s="3089" t="s">
        <v>2692</v>
      </c>
      <c r="E94" s="3115">
        <v>0.15</v>
      </c>
      <c r="F94" s="3115">
        <v>20</v>
      </c>
    </row>
    <row r="95" spans="1:6" ht="36">
      <c r="A95" s="3115">
        <v>23</v>
      </c>
      <c r="B95" s="3906"/>
      <c r="C95" s="3089" t="s">
        <v>2693</v>
      </c>
      <c r="D95" s="3089" t="s">
        <v>2694</v>
      </c>
      <c r="E95" s="3115">
        <v>0.15</v>
      </c>
      <c r="F95" s="3115">
        <v>20</v>
      </c>
    </row>
    <row r="96" spans="1:6" ht="13.5">
      <c r="A96" s="3115">
        <v>24</v>
      </c>
      <c r="B96" s="3906"/>
      <c r="C96" s="3089" t="s">
        <v>2695</v>
      </c>
      <c r="D96" s="3089" t="s">
        <v>2696</v>
      </c>
      <c r="E96" s="3115">
        <v>0.1</v>
      </c>
      <c r="F96" s="3115">
        <v>15</v>
      </c>
    </row>
    <row r="97" spans="1:6" ht="13.5">
      <c r="A97" s="3115">
        <v>25</v>
      </c>
      <c r="B97" s="3906"/>
      <c r="C97" s="3089" t="s">
        <v>2697</v>
      </c>
      <c r="D97" s="3089" t="s">
        <v>2698</v>
      </c>
      <c r="E97" s="3115">
        <v>0.1</v>
      </c>
      <c r="F97" s="3115">
        <v>15</v>
      </c>
    </row>
    <row r="98" spans="1:6" ht="24">
      <c r="A98" s="3115">
        <v>26</v>
      </c>
      <c r="B98" s="3906"/>
      <c r="C98" s="3089" t="s">
        <v>2699</v>
      </c>
      <c r="D98" s="3089" t="s">
        <v>2700</v>
      </c>
      <c r="E98" s="3115">
        <v>0.1</v>
      </c>
      <c r="F98" s="3115">
        <v>15</v>
      </c>
    </row>
    <row r="99" spans="1:6" ht="24">
      <c r="A99" s="3115">
        <v>27</v>
      </c>
      <c r="B99" s="3906"/>
      <c r="C99" s="3089" t="s">
        <v>2701</v>
      </c>
      <c r="D99" s="3089" t="s">
        <v>2702</v>
      </c>
      <c r="E99" s="3115">
        <v>0.1</v>
      </c>
      <c r="F99" s="3115">
        <v>15</v>
      </c>
    </row>
    <row r="100" spans="1:6" ht="13.5">
      <c r="A100" s="3115">
        <v>28</v>
      </c>
      <c r="B100" s="3906"/>
      <c r="C100" s="3089" t="s">
        <v>2703</v>
      </c>
      <c r="D100" s="3089" t="s">
        <v>2704</v>
      </c>
      <c r="E100" s="3115">
        <v>0.1</v>
      </c>
      <c r="F100" s="3115">
        <v>15</v>
      </c>
    </row>
    <row r="101" spans="1:6" ht="13.5">
      <c r="A101" s="3115">
        <v>29</v>
      </c>
      <c r="B101" s="3906"/>
      <c r="C101" s="3089" t="s">
        <v>2705</v>
      </c>
      <c r="D101" s="3089" t="s">
        <v>2706</v>
      </c>
      <c r="E101" s="3115">
        <v>0.1</v>
      </c>
      <c r="F101" s="3115">
        <v>15</v>
      </c>
    </row>
    <row r="102" spans="1:6" ht="13.5">
      <c r="A102" s="3115">
        <v>30</v>
      </c>
      <c r="B102" s="3906"/>
      <c r="C102" s="3089" t="s">
        <v>2707</v>
      </c>
      <c r="D102" s="3089" t="s">
        <v>2708</v>
      </c>
      <c r="E102" s="3115">
        <v>0.1</v>
      </c>
      <c r="F102" s="3115">
        <v>15</v>
      </c>
    </row>
    <row r="103" spans="1:6" ht="24">
      <c r="A103" s="3115">
        <v>31</v>
      </c>
      <c r="B103" s="3906"/>
      <c r="C103" s="3089" t="s">
        <v>2709</v>
      </c>
      <c r="D103" s="3089" t="s">
        <v>2710</v>
      </c>
      <c r="E103" s="3115">
        <v>0.1</v>
      </c>
      <c r="F103" s="3115">
        <v>15</v>
      </c>
    </row>
    <row r="104" spans="1:6" ht="24">
      <c r="A104" s="3115">
        <v>32</v>
      </c>
      <c r="B104" s="3906"/>
      <c r="C104" s="3089" t="s">
        <v>2711</v>
      </c>
      <c r="D104" s="3089" t="s">
        <v>2712</v>
      </c>
      <c r="E104" s="3115">
        <v>0.1</v>
      </c>
      <c r="F104" s="3115">
        <v>15</v>
      </c>
    </row>
    <row r="105" spans="1:6" ht="24">
      <c r="A105" s="3115">
        <v>33</v>
      </c>
      <c r="B105" s="3906"/>
      <c r="C105" s="3089" t="s">
        <v>2713</v>
      </c>
      <c r="D105" s="3089" t="s">
        <v>2714</v>
      </c>
      <c r="E105" s="3115">
        <v>0.1</v>
      </c>
      <c r="F105" s="3115">
        <v>15</v>
      </c>
    </row>
    <row r="106" spans="1:6" ht="24">
      <c r="A106" s="3115">
        <v>34</v>
      </c>
      <c r="B106" s="3915"/>
      <c r="C106" s="3089" t="s">
        <v>2715</v>
      </c>
      <c r="D106" s="3089" t="s">
        <v>2716</v>
      </c>
      <c r="E106" s="3115">
        <v>0.1</v>
      </c>
      <c r="F106" s="3115">
        <v>15</v>
      </c>
    </row>
    <row r="107" spans="1:6" ht="24">
      <c r="A107" s="3115">
        <v>35</v>
      </c>
      <c r="B107" s="3911" t="s">
        <v>2717</v>
      </c>
      <c r="C107" s="3115" t="s">
        <v>2718</v>
      </c>
      <c r="D107" s="3089" t="s">
        <v>2719</v>
      </c>
      <c r="E107" s="3115">
        <v>0.15</v>
      </c>
      <c r="F107" s="3115">
        <v>20</v>
      </c>
    </row>
    <row r="108" spans="1:6" ht="13.5">
      <c r="A108" s="3115">
        <v>36</v>
      </c>
      <c r="B108" s="3906"/>
      <c r="C108" s="3115" t="s">
        <v>2720</v>
      </c>
      <c r="D108" s="3089" t="s">
        <v>2721</v>
      </c>
      <c r="E108" s="3115">
        <v>0.15</v>
      </c>
      <c r="F108" s="3115">
        <v>20</v>
      </c>
    </row>
    <row r="109" spans="1:6" ht="13.5">
      <c r="A109" s="3115">
        <v>37</v>
      </c>
      <c r="B109" s="3906"/>
      <c r="C109" s="3115" t="s">
        <v>2722</v>
      </c>
      <c r="D109" s="3089" t="s">
        <v>2723</v>
      </c>
      <c r="E109" s="3115">
        <v>0.15</v>
      </c>
      <c r="F109" s="3115">
        <v>20</v>
      </c>
    </row>
    <row r="110" spans="1:6" ht="13.5">
      <c r="A110" s="3115">
        <v>38</v>
      </c>
      <c r="B110" s="3906"/>
      <c r="C110" s="3115" t="s">
        <v>2724</v>
      </c>
      <c r="D110" s="3089" t="s">
        <v>2725</v>
      </c>
      <c r="E110" s="3115">
        <v>0.1</v>
      </c>
      <c r="F110" s="3115">
        <v>15</v>
      </c>
    </row>
    <row r="111" spans="1:6" ht="24">
      <c r="A111" s="3115">
        <v>39</v>
      </c>
      <c r="B111" s="3906"/>
      <c r="C111" s="3115" t="s">
        <v>2726</v>
      </c>
      <c r="D111" s="3089" t="s">
        <v>2727</v>
      </c>
      <c r="E111" s="3115">
        <v>0.1</v>
      </c>
      <c r="F111" s="3115">
        <v>15</v>
      </c>
    </row>
    <row r="112" spans="1:6" ht="24">
      <c r="A112" s="3115">
        <v>40</v>
      </c>
      <c r="B112" s="3915"/>
      <c r="C112" s="3115" t="s">
        <v>2728</v>
      </c>
      <c r="D112" s="3089" t="s">
        <v>2729</v>
      </c>
      <c r="E112" s="3115">
        <v>0.1</v>
      </c>
      <c r="F112" s="3115">
        <v>15</v>
      </c>
    </row>
    <row r="113" spans="1:6" ht="13.5">
      <c r="A113" s="3115">
        <v>41</v>
      </c>
      <c r="B113" s="3916" t="s">
        <v>2730</v>
      </c>
      <c r="C113" s="3115" t="s">
        <v>2731</v>
      </c>
      <c r="D113" s="3089" t="s">
        <v>2732</v>
      </c>
      <c r="E113" s="3115">
        <v>0.1</v>
      </c>
      <c r="F113" s="3115">
        <v>15</v>
      </c>
    </row>
    <row r="114" spans="1:6" ht="13.5">
      <c r="A114" s="3115">
        <v>42</v>
      </c>
      <c r="B114" s="3916"/>
      <c r="C114" s="3115" t="s">
        <v>2733</v>
      </c>
      <c r="D114" s="3089" t="s">
        <v>2734</v>
      </c>
      <c r="E114" s="3115">
        <v>0.1</v>
      </c>
      <c r="F114" s="3115">
        <v>15</v>
      </c>
    </row>
    <row r="115" spans="1:6" ht="24">
      <c r="A115" s="3115">
        <v>43</v>
      </c>
      <c r="B115" s="3916"/>
      <c r="C115" s="3115" t="s">
        <v>2735</v>
      </c>
      <c r="D115" s="3089" t="s">
        <v>2736</v>
      </c>
      <c r="E115" s="3115">
        <v>0.1</v>
      </c>
      <c r="F115" s="3115">
        <v>15</v>
      </c>
    </row>
    <row r="116" spans="1:6" ht="13.5">
      <c r="A116" s="3115">
        <v>44</v>
      </c>
      <c r="B116" s="3911" t="s">
        <v>2737</v>
      </c>
      <c r="C116" s="3115" t="s">
        <v>2738</v>
      </c>
      <c r="D116" s="3089" t="s">
        <v>2739</v>
      </c>
      <c r="E116" s="3115">
        <v>0.1</v>
      </c>
      <c r="F116" s="3115">
        <v>15</v>
      </c>
    </row>
    <row r="117" spans="1:6" ht="24">
      <c r="A117" s="3115">
        <v>45</v>
      </c>
      <c r="B117" s="3915"/>
      <c r="C117" s="3089" t="s">
        <v>2740</v>
      </c>
      <c r="D117" s="3089" t="s">
        <v>2741</v>
      </c>
      <c r="E117" s="3115">
        <v>0.1</v>
      </c>
      <c r="F117" s="3115">
        <v>15</v>
      </c>
    </row>
    <row r="118" spans="1:6" ht="24">
      <c r="A118" s="3115">
        <v>46</v>
      </c>
      <c r="B118" s="3911" t="s">
        <v>2742</v>
      </c>
      <c r="C118" s="3115" t="s">
        <v>2743</v>
      </c>
      <c r="D118" s="3089" t="s">
        <v>2744</v>
      </c>
      <c r="E118" s="3115">
        <v>0.1</v>
      </c>
      <c r="F118" s="3115">
        <v>15</v>
      </c>
    </row>
    <row r="119" spans="1:6" ht="24">
      <c r="A119" s="3115">
        <v>47</v>
      </c>
      <c r="B119" s="3915"/>
      <c r="C119" s="3115" t="s">
        <v>2745</v>
      </c>
      <c r="D119" s="3089" t="s">
        <v>2746</v>
      </c>
      <c r="E119" s="3115">
        <v>0.1</v>
      </c>
      <c r="F119" s="3115">
        <v>15</v>
      </c>
    </row>
    <row r="120" spans="1:6" ht="13.5">
      <c r="A120" s="3115">
        <v>48</v>
      </c>
      <c r="B120" s="3911" t="s">
        <v>2747</v>
      </c>
      <c r="C120" s="3115" t="s">
        <v>2748</v>
      </c>
      <c r="D120" s="3089" t="s">
        <v>2749</v>
      </c>
      <c r="E120" s="3115">
        <v>0.1</v>
      </c>
      <c r="F120" s="3115">
        <v>15</v>
      </c>
    </row>
    <row r="121" spans="1:6" ht="13.5">
      <c r="A121" s="3115">
        <v>49</v>
      </c>
      <c r="B121" s="3915"/>
      <c r="C121" s="3115" t="s">
        <v>2750</v>
      </c>
      <c r="D121" s="3089" t="s">
        <v>2751</v>
      </c>
      <c r="E121" s="3115">
        <v>0.1</v>
      </c>
      <c r="F121" s="3115">
        <v>15</v>
      </c>
    </row>
    <row r="122" spans="1:6" ht="24">
      <c r="A122" s="3115">
        <v>50</v>
      </c>
      <c r="B122" s="3916" t="s">
        <v>2752</v>
      </c>
      <c r="C122" s="3115" t="s">
        <v>2753</v>
      </c>
      <c r="D122" s="3089" t="s">
        <v>2754</v>
      </c>
      <c r="E122" s="3115">
        <v>0.1</v>
      </c>
      <c r="F122" s="3115">
        <v>15</v>
      </c>
    </row>
    <row r="123" spans="1:6" ht="24">
      <c r="A123" s="3115">
        <v>51</v>
      </c>
      <c r="B123" s="3916"/>
      <c r="C123" s="3115" t="s">
        <v>2755</v>
      </c>
      <c r="D123" s="3089" t="s">
        <v>2756</v>
      </c>
      <c r="E123" s="3115">
        <v>0.1</v>
      </c>
      <c r="F123" s="3115">
        <v>15</v>
      </c>
    </row>
    <row r="124" spans="1:6" ht="24">
      <c r="A124" s="3115">
        <v>52</v>
      </c>
      <c r="B124" s="3916" t="s">
        <v>2757</v>
      </c>
      <c r="C124" s="3115" t="s">
        <v>2758</v>
      </c>
      <c r="D124" s="3089" t="s">
        <v>2759</v>
      </c>
      <c r="E124" s="3115">
        <v>0.1</v>
      </c>
      <c r="F124" s="3115">
        <v>15</v>
      </c>
    </row>
    <row r="125" spans="1:6" ht="24">
      <c r="A125" s="3115">
        <v>53</v>
      </c>
      <c r="B125" s="3916"/>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6" t="s">
        <v>2765</v>
      </c>
      <c r="C127" s="3115" t="s">
        <v>2766</v>
      </c>
      <c r="D127" s="3089" t="s">
        <v>2767</v>
      </c>
      <c r="E127" s="3115">
        <v>0.1</v>
      </c>
      <c r="F127" s="3115">
        <v>15</v>
      </c>
    </row>
    <row r="128" spans="1:6" ht="13.5">
      <c r="A128" s="3115">
        <v>56</v>
      </c>
      <c r="B128" s="3916"/>
      <c r="C128" s="3115" t="s">
        <v>2768</v>
      </c>
      <c r="D128" s="3089" t="s">
        <v>2769</v>
      </c>
      <c r="E128" s="3115">
        <v>0.1</v>
      </c>
      <c r="F128" s="3115">
        <v>15</v>
      </c>
    </row>
    <row r="129" spans="1:6" ht="24">
      <c r="A129" s="3115">
        <v>57</v>
      </c>
      <c r="B129" s="3916"/>
      <c r="C129" s="3115" t="s">
        <v>2770</v>
      </c>
      <c r="D129" s="3089" t="s">
        <v>2771</v>
      </c>
      <c r="E129" s="3115">
        <v>0.1</v>
      </c>
      <c r="F129" s="3115">
        <v>15</v>
      </c>
    </row>
    <row r="130" spans="1:6" ht="24">
      <c r="A130" s="3115">
        <v>58</v>
      </c>
      <c r="B130" s="3916" t="s">
        <v>2772</v>
      </c>
      <c r="C130" s="3115" t="s">
        <v>2773</v>
      </c>
      <c r="D130" s="3089" t="s">
        <v>2774</v>
      </c>
      <c r="E130" s="3115">
        <v>0.1</v>
      </c>
      <c r="F130" s="3115">
        <v>15</v>
      </c>
    </row>
    <row r="131" spans="1:6" ht="13.5">
      <c r="A131" s="3115">
        <v>59</v>
      </c>
      <c r="B131" s="3916"/>
      <c r="C131" s="3115" t="s">
        <v>2775</v>
      </c>
      <c r="D131" s="3089" t="s">
        <v>2776</v>
      </c>
      <c r="E131" s="3115">
        <v>0.1</v>
      </c>
      <c r="F131" s="3115">
        <v>15</v>
      </c>
    </row>
    <row r="132" spans="1:6" ht="13.5">
      <c r="A132" s="3115">
        <v>60</v>
      </c>
      <c r="B132" s="3911" t="s">
        <v>2777</v>
      </c>
      <c r="C132" s="3115" t="s">
        <v>2778</v>
      </c>
      <c r="D132" s="3089" t="s">
        <v>2779</v>
      </c>
      <c r="E132" s="3115">
        <v>0.1</v>
      </c>
      <c r="F132" s="3115">
        <v>15</v>
      </c>
    </row>
    <row r="133" spans="1:6" ht="13.5">
      <c r="A133" s="3115">
        <v>61</v>
      </c>
      <c r="B133" s="3915"/>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6" t="s">
        <v>2785</v>
      </c>
      <c r="C135" s="3115" t="s">
        <v>2786</v>
      </c>
      <c r="D135" s="3089" t="s">
        <v>2787</v>
      </c>
      <c r="E135" s="3115">
        <v>0.1</v>
      </c>
      <c r="F135" s="3115">
        <v>15</v>
      </c>
    </row>
    <row r="136" spans="1:6" ht="13.5">
      <c r="A136" s="3115">
        <v>64</v>
      </c>
      <c r="B136" s="3916"/>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2" t="s">
        <v>90</v>
      </c>
    </row>
    <row r="43" spans="1:7" ht="13.5" customHeight="1">
      <c r="A43" s="780" t="s">
        <v>343</v>
      </c>
      <c r="B43" s="215" t="s">
        <v>422</v>
      </c>
      <c r="C43" s="238">
        <f ca="1">ROUND(IF('数据-取费表'!B22&lt;=1,C39*F22*'数据-取费表'!B21/2,C39*(POWER((1+F22),'数据-取费表'!B21/2)-1)),0)</f>
        <v>0</v>
      </c>
      <c r="D43" s="238"/>
      <c r="E43" s="238"/>
      <c r="F43" s="239"/>
      <c r="G43" s="3733"/>
    </row>
    <row r="44" spans="1:7" ht="13.5" customHeight="1">
      <c r="A44" s="780" t="s">
        <v>344</v>
      </c>
      <c r="B44" s="215" t="s">
        <v>424</v>
      </c>
      <c r="C44" s="238">
        <f ca="1">ROUND(IF('数据-取费表'!B22&lt;=1,C40*F22*'数据-取费表'!B21/2,C40*(POWER((1+F22),'数据-取费表'!B21/2)-1)),4)</f>
        <v>6.9999999999999999E-4</v>
      </c>
      <c r="D44" s="238"/>
      <c r="E44" s="238"/>
      <c r="F44" s="239"/>
      <c r="G44" s="3734"/>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19" t="s">
        <v>2839</v>
      </c>
      <c r="B1" s="3919"/>
      <c r="C1" s="3919"/>
      <c r="D1" s="3919"/>
      <c r="E1" s="3919"/>
      <c r="F1" s="3919"/>
      <c r="G1" s="392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17"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18"/>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21" t="s">
        <v>3181</v>
      </c>
      <c r="B1" s="3921"/>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22" t="s">
        <v>3232</v>
      </c>
      <c r="B1" s="3922"/>
      <c r="C1" s="3922"/>
      <c r="D1" s="3922"/>
      <c r="E1" s="3922"/>
      <c r="F1" s="3923"/>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44963</v>
      </c>
      <c r="B1" s="3207" t="s">
        <v>2838</v>
      </c>
      <c r="C1" s="3208"/>
      <c r="D1" s="3208"/>
      <c r="E1" s="3208"/>
      <c r="F1" s="3208"/>
      <c r="G1" s="3208"/>
      <c r="H1" s="3208"/>
      <c r="I1" s="3208"/>
      <c r="J1" s="3162"/>
      <c r="K1" s="3208" t="s">
        <v>450</v>
      </c>
      <c r="L1" s="3208"/>
      <c r="M1" s="3208"/>
      <c r="N1" s="3208"/>
      <c r="O1" s="3208"/>
      <c r="P1" s="3208"/>
      <c r="Q1" s="3162"/>
      <c r="R1" s="3924" t="s">
        <v>452</v>
      </c>
      <c r="S1" s="3925"/>
      <c r="T1" s="3925"/>
      <c r="U1" s="3925"/>
      <c r="V1" s="3925"/>
      <c r="W1" s="3925"/>
      <c r="X1" s="3162"/>
      <c r="Y1" s="3924" t="s">
        <v>453</v>
      </c>
      <c r="Z1" s="3925"/>
      <c r="AA1" s="3925"/>
      <c r="AB1" s="3925"/>
      <c r="AC1" s="3925"/>
      <c r="AD1" s="3925"/>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24" t="s">
        <v>2826</v>
      </c>
      <c r="S21" s="3925"/>
      <c r="T21" s="3925"/>
      <c r="U21" s="3925"/>
      <c r="V21" s="3925"/>
      <c r="W21" s="3925"/>
      <c r="X21" s="3162"/>
      <c r="Y21" s="3924" t="s">
        <v>2827</v>
      </c>
      <c r="Z21" s="3925"/>
      <c r="AA21" s="3925"/>
      <c r="AB21" s="3925"/>
      <c r="AC21" s="3925"/>
      <c r="AD21" s="392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0" t="str">
        <f>IF(项目基本情况!B9="房地产市场价值","估价结果一览表","结果表-2")</f>
        <v>估价结果一览表</v>
      </c>
      <c r="B1" s="3560"/>
      <c r="C1" s="3560"/>
      <c r="D1" s="3560"/>
      <c r="E1" s="3560"/>
      <c r="F1" s="3560"/>
      <c r="G1" s="3560"/>
      <c r="H1" s="3560"/>
      <c r="I1" s="3560"/>
    </row>
    <row r="2" spans="1:9" ht="30" customHeight="1" thickTop="1">
      <c r="A2" s="3561" t="s">
        <v>924</v>
      </c>
      <c r="B2" s="3561" t="s">
        <v>925</v>
      </c>
      <c r="C2" s="3561" t="s">
        <v>926</v>
      </c>
      <c r="D2" s="3561" t="str">
        <f>结果表!D116</f>
        <v>出让国有建设用地使用权价值</v>
      </c>
      <c r="E2" s="3561"/>
      <c r="F2" s="3561" t="str">
        <f>结果表!F116</f>
        <v>在建建筑物价值</v>
      </c>
      <c r="G2" s="3561"/>
      <c r="H2" s="3561" t="str">
        <f>IF(项目基本情况!B9="房地产市场价值","房地产市场价值","房地产价值")</f>
        <v>房地产市场价值</v>
      </c>
      <c r="I2" s="3561"/>
    </row>
    <row r="3" spans="1:9" ht="15">
      <c r="A3" s="3562"/>
      <c r="B3" s="3562"/>
      <c r="C3" s="3562"/>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2" t="s">
        <v>923</v>
      </c>
      <c r="B5" s="3562"/>
      <c r="C5" s="3562"/>
      <c r="D5" s="3562" t="e">
        <f ca="1">结果表!D119</f>
        <v>#REF!</v>
      </c>
      <c r="E5" s="3562"/>
      <c r="F5" s="3562" t="e">
        <f ca="1">结果表!F119</f>
        <v>#REF!</v>
      </c>
      <c r="G5" s="3562"/>
      <c r="H5" s="3562" t="e">
        <f ca="1">结果表!H119</f>
        <v>#REF!</v>
      </c>
      <c r="I5" s="3562"/>
    </row>
    <row r="6" spans="1:9" ht="15.75">
      <c r="A6" s="3563" t="str">
        <f>结果表!A120</f>
        <v/>
      </c>
      <c r="B6" s="3563"/>
      <c r="C6" s="3563"/>
      <c r="D6" s="3563">
        <f>结果表!D120</f>
        <v>0</v>
      </c>
      <c r="E6" s="3563"/>
      <c r="F6" s="3563"/>
      <c r="G6" s="3563"/>
      <c r="H6" s="3563"/>
      <c r="I6" s="3563"/>
    </row>
    <row r="7" spans="1:9" ht="15">
      <c r="A7" s="3562" t="s">
        <v>923</v>
      </c>
      <c r="B7" s="3562"/>
      <c r="C7" s="3562"/>
      <c r="D7" s="3564" t="str">
        <f>结果表!D121</f>
        <v>零元整</v>
      </c>
      <c r="E7" s="3565"/>
      <c r="F7" s="3565"/>
      <c r="G7" s="3565"/>
      <c r="H7" s="3565"/>
      <c r="I7" s="3566"/>
    </row>
    <row r="8" spans="1:9" ht="15.75">
      <c r="A8" s="3563" t="str">
        <f>结果表!A122</f>
        <v/>
      </c>
      <c r="B8" s="3563"/>
      <c r="C8" s="3563"/>
      <c r="D8" s="3563" t="e">
        <f ca="1">结果表!D122</f>
        <v>#REF!</v>
      </c>
      <c r="E8" s="3563"/>
      <c r="F8" s="3563"/>
      <c r="G8" s="3563"/>
      <c r="H8" s="3563"/>
      <c r="I8" s="3563"/>
    </row>
    <row r="9" spans="1:9" ht="15">
      <c r="A9" s="3562" t="s">
        <v>923</v>
      </c>
      <c r="B9" s="3562"/>
      <c r="C9" s="3562"/>
      <c r="D9" s="3562" t="e">
        <f ca="1">结果表!D123</f>
        <v>#REF!</v>
      </c>
      <c r="E9" s="3562"/>
      <c r="F9" s="3562"/>
      <c r="G9" s="3562"/>
      <c r="H9" s="3562"/>
      <c r="I9" s="3562"/>
    </row>
    <row r="10" spans="1:9" ht="15.75">
      <c r="A10" s="3563" t="str">
        <f>结果表!A124</f>
        <v/>
      </c>
      <c r="B10" s="3563"/>
      <c r="C10" s="3563"/>
      <c r="D10" s="3563" t="str">
        <f>结果表!D124</f>
        <v>——</v>
      </c>
      <c r="E10" s="3563"/>
      <c r="F10" s="3563"/>
      <c r="G10" s="3563"/>
      <c r="H10" s="3563"/>
      <c r="I10" s="3563"/>
    </row>
    <row r="11" spans="1:9" ht="15">
      <c r="A11" s="3562" t="s">
        <v>923</v>
      </c>
      <c r="B11" s="3562"/>
      <c r="C11" s="3562"/>
      <c r="D11" s="3562" t="e">
        <f>结果表!D125</f>
        <v>#VALUE!</v>
      </c>
      <c r="E11" s="3562"/>
      <c r="F11" s="3562"/>
      <c r="G11" s="3562"/>
      <c r="H11" s="3562"/>
      <c r="I11" s="3562"/>
    </row>
    <row r="12" spans="1:9" ht="15.75">
      <c r="A12" s="3563" t="str">
        <f>结果表!A126</f>
        <v/>
      </c>
      <c r="B12" s="3563"/>
      <c r="C12" s="3563"/>
      <c r="D12" s="3563" t="str">
        <f>结果表!D126</f>
        <v>——</v>
      </c>
      <c r="E12" s="3563"/>
      <c r="F12" s="3563"/>
      <c r="G12" s="3563"/>
      <c r="H12" s="3563"/>
      <c r="I12" s="3563"/>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1" t="s">
        <v>448</v>
      </c>
      <c r="C1" s="3931"/>
      <c r="D1" s="3931"/>
      <c r="E1" s="3931"/>
      <c r="F1" s="3931"/>
      <c r="G1" s="3927" t="s">
        <v>449</v>
      </c>
      <c r="H1" s="3927"/>
      <c r="I1" s="3927"/>
      <c r="J1" s="3927"/>
      <c r="K1" s="3927"/>
      <c r="L1" s="3927"/>
      <c r="N1" s="3927" t="s">
        <v>450</v>
      </c>
      <c r="O1" s="3927"/>
      <c r="P1" s="3927"/>
      <c r="Q1" s="3927"/>
      <c r="S1" s="3927" t="s">
        <v>451</v>
      </c>
      <c r="T1" s="3927"/>
      <c r="U1" s="3927"/>
      <c r="V1" s="3927"/>
      <c r="X1" s="3926" t="s">
        <v>452</v>
      </c>
      <c r="Y1" s="3927"/>
      <c r="Z1" s="3927"/>
      <c r="AA1" s="3927"/>
      <c r="AB1" s="3927"/>
      <c r="AD1" s="3926" t="s">
        <v>453</v>
      </c>
      <c r="AE1" s="3927"/>
      <c r="AF1" s="3927"/>
      <c r="AG1" s="3927"/>
      <c r="AH1" s="392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2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2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2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2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2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2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44963</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9" t="s">
        <v>945</v>
      </c>
      <c r="B1" s="3569"/>
      <c r="C1" s="3569"/>
      <c r="D1" s="3569"/>
    </row>
    <row r="2" spans="1:4" ht="18">
      <c r="A2" s="3570" t="s">
        <v>929</v>
      </c>
      <c r="B2" s="3570"/>
      <c r="C2" s="3570"/>
      <c r="D2" s="3570"/>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0" t="s">
        <v>935</v>
      </c>
      <c r="B6" s="3570"/>
      <c r="C6" s="3570"/>
      <c r="D6" s="3570"/>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1" t="s">
        <v>938</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3"/>
      <c r="C12" s="3573"/>
      <c r="D12" s="3573"/>
    </row>
    <row r="13" spans="1:4" ht="30" customHeight="1">
      <c r="A13" s="3572" t="str">
        <f>IF(项目基本情况!B8="抵押","3.抵押双方在办理抵押登记手续时，应使用本公司出具的正式《房地产评估报告》，特提醒报告使用者注意。","——")</f>
        <v>——</v>
      </c>
      <c r="B13" s="3573"/>
      <c r="C13" s="3573"/>
      <c r="D13" s="3573"/>
    </row>
    <row r="14" spans="1:4" ht="15.75" customHeight="1">
      <c r="A14" s="3572" t="str">
        <f>IF(项目基本情况!B8="抵押","4.本次评估估价师所知悉的法定优先受偿款情况说明如下：","——")</f>
        <v>——</v>
      </c>
      <c r="B14" s="3573"/>
      <c r="C14" s="3573"/>
      <c r="D14" s="3573"/>
    </row>
    <row r="15" spans="1:4" ht="42" customHeight="1">
      <c r="A15" s="3572" t="str">
        <f>IF(项目基本情况!B8="抵押","（1）"&amp;CONCATENATE(项目基本情况!L20,项目基本情况!L21,项目基本情况!L22),"——")</f>
        <v>——</v>
      </c>
      <c r="B15" s="3572"/>
      <c r="C15" s="3572"/>
      <c r="D15" s="3572"/>
    </row>
    <row r="16" spans="1:4" ht="30" customHeight="1">
      <c r="A16" s="3575" t="s">
        <v>939</v>
      </c>
      <c r="B16" s="3575"/>
      <c r="C16" s="3575"/>
      <c r="D16" s="3575"/>
    </row>
    <row r="17" spans="1:4" ht="144" customHeight="1">
      <c r="A17" s="3575" t="s">
        <v>940</v>
      </c>
      <c r="B17" s="3575"/>
      <c r="C17" s="3575"/>
      <c r="D17" s="3575"/>
    </row>
    <row r="18" spans="1:4" ht="15.75" customHeight="1">
      <c r="A18" s="3572" t="str">
        <f>IF(项目基本情况!B8="抵押",结果表!K120,"——")</f>
        <v>——</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2"/>
      <c r="C20" s="3572"/>
      <c r="D20" s="3572"/>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6"/>
      <c r="C21" s="3576"/>
      <c r="D21" s="3576"/>
    </row>
    <row r="22" spans="1:4" ht="18.75" customHeight="1">
      <c r="A22" s="3577" t="s">
        <v>941</v>
      </c>
      <c r="B22" s="3577"/>
      <c r="C22" s="3577"/>
      <c r="D22" s="3577"/>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4">
        <v>42551</v>
      </c>
      <c r="D31" s="35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3" t="s">
        <v>952</v>
      </c>
      <c r="B15" s="3578" t="s">
        <v>105</v>
      </c>
      <c r="C15" s="3579"/>
    </row>
    <row r="16" spans="1:7" ht="13.5">
      <c r="A16" s="3584"/>
      <c r="B16" s="3578" t="s">
        <v>38</v>
      </c>
      <c r="C16" s="3579"/>
    </row>
    <row r="17" spans="1:3" ht="13.5">
      <c r="A17" s="3584"/>
      <c r="B17" s="3581" t="s">
        <v>953</v>
      </c>
      <c r="C17" s="1532" t="s">
        <v>952</v>
      </c>
    </row>
    <row r="18" spans="1:3" ht="13.5">
      <c r="A18" s="3584"/>
      <c r="B18" s="3581"/>
      <c r="C18" s="1532" t="s">
        <v>954</v>
      </c>
    </row>
    <row r="19" spans="1:3" ht="13.5">
      <c r="A19" s="3584"/>
      <c r="B19" s="3581"/>
      <c r="C19" s="1532" t="s">
        <v>955</v>
      </c>
    </row>
    <row r="20" spans="1:3" ht="13.5">
      <c r="A20" s="3585"/>
      <c r="B20" s="3580" t="s">
        <v>956</v>
      </c>
      <c r="C20" s="3579"/>
    </row>
    <row r="21" spans="1:3" ht="13.5">
      <c r="A21" s="1533" t="s">
        <v>957</v>
      </c>
      <c r="B21" s="1534"/>
      <c r="C21" s="1535"/>
    </row>
    <row r="22" spans="1:3" ht="13.5">
      <c r="A22" s="3582" t="s">
        <v>958</v>
      </c>
      <c r="B22" s="3580" t="s">
        <v>959</v>
      </c>
      <c r="C22" s="3579"/>
    </row>
    <row r="23" spans="1:3" ht="13.5">
      <c r="A23" s="3582"/>
      <c r="B23" s="3580" t="s">
        <v>960</v>
      </c>
      <c r="C23" s="3579"/>
    </row>
    <row r="24" spans="1:3" ht="13.5">
      <c r="A24" s="3582"/>
      <c r="B24" s="3580" t="s">
        <v>961</v>
      </c>
      <c r="C24" s="3579"/>
    </row>
    <row r="25" spans="1:3" ht="13.5">
      <c r="A25" s="3582"/>
      <c r="B25" s="3581" t="s">
        <v>962</v>
      </c>
      <c r="C25" s="1532" t="s">
        <v>963</v>
      </c>
    </row>
    <row r="26" spans="1:3" ht="13.5">
      <c r="A26" s="3582"/>
      <c r="B26" s="3581"/>
      <c r="C26" s="1532" t="s">
        <v>964</v>
      </c>
    </row>
    <row r="27" spans="1:3" ht="13.5">
      <c r="A27" s="3582"/>
      <c r="B27" s="3581"/>
      <c r="C27" s="1532" t="s">
        <v>965</v>
      </c>
    </row>
    <row r="28" spans="1:3" ht="13.5">
      <c r="A28" s="3582"/>
      <c r="B28" s="3581"/>
      <c r="C28" s="1532" t="s">
        <v>966</v>
      </c>
    </row>
    <row r="29" spans="1:3" ht="13.5">
      <c r="A29" s="3582"/>
      <c r="B29" s="3581"/>
      <c r="C29" s="1532" t="s">
        <v>967</v>
      </c>
    </row>
    <row r="30" spans="1:3" ht="13.5">
      <c r="A30" s="3582"/>
      <c r="B30" s="3581"/>
      <c r="C30" s="1532" t="s">
        <v>968</v>
      </c>
    </row>
    <row r="31" spans="1:3" ht="13.5">
      <c r="A31" s="3582"/>
      <c r="B31" s="3581"/>
      <c r="C31" s="1532" t="s">
        <v>969</v>
      </c>
    </row>
    <row r="32" spans="1:3" ht="13.5">
      <c r="A32" s="3582"/>
      <c r="B32" s="3581"/>
      <c r="C32" s="1532" t="s">
        <v>970</v>
      </c>
    </row>
    <row r="33" spans="1:3" ht="13.5">
      <c r="A33" s="3582"/>
      <c r="B33" s="3581"/>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44987</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6" t="s">
        <v>2152</v>
      </c>
      <c r="B17" s="3586"/>
      <c r="C17" s="3586"/>
      <c r="D17" s="3586"/>
      <c r="E17" s="3586"/>
      <c r="F17" s="3586"/>
      <c r="G17" s="3586"/>
      <c r="H17" s="3586"/>
    </row>
    <row r="18" spans="1:8" ht="24" customHeight="1">
      <c r="A18" s="3587" t="s">
        <v>2153</v>
      </c>
      <c r="B18" s="3587"/>
      <c r="C18" s="3587"/>
      <c r="D18" s="2341"/>
      <c r="E18" s="3588" t="s">
        <v>2154</v>
      </c>
      <c r="F18" s="3587"/>
      <c r="G18" s="3587"/>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2023-03-02T09:27:26Z</dcterms:modified>
</cp:coreProperties>
</file>