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桂林恒大江湾\P01\"/>
    </mc:Choice>
  </mc:AlternateContent>
  <bookViews>
    <workbookView xWindow="480" yWindow="216" windowWidth="12120" windowHeight="7620" tabRatio="899" firstSheet="16"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商业1拖2" sheetId="78" state="hidden" r:id="rId23"/>
    <sheet name="收益法-商业（1层）"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案例" sheetId="77"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3" hidden="1">案例!$A$1:$AR$42</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'收益法-商业（1层）'!$A$1:$AK$69</definedName>
    <definedName name="_xlnm.Print_Area" localSheetId="22">'收益法-商业1拖2'!$A$1:$AK$69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ManualCount="2"/>
</workbook>
</file>

<file path=xl/calcChain.xml><?xml version="1.0" encoding="utf-8"?>
<calcChain xmlns="http://schemas.openxmlformats.org/spreadsheetml/2006/main">
  <c r="C8" i="12" l="1"/>
  <c r="I46" i="39" l="1"/>
  <c r="G46" i="39"/>
  <c r="E46" i="39"/>
  <c r="I38" i="39" l="1"/>
  <c r="G38" i="39"/>
  <c r="E38" i="39"/>
  <c r="I6" i="39"/>
  <c r="G6" i="39"/>
  <c r="E6" i="39"/>
  <c r="I7" i="39"/>
  <c r="G7" i="39"/>
  <c r="E7" i="39"/>
  <c r="C11" i="4"/>
  <c r="B7" i="4"/>
  <c r="D3" i="4"/>
  <c r="I5" i="39"/>
  <c r="E5" i="39"/>
  <c r="G5" i="39"/>
  <c r="C17" i="9" l="1"/>
  <c r="D17" i="9"/>
  <c r="F15" i="78"/>
  <c r="F17" i="78"/>
  <c r="F18" i="78"/>
  <c r="F20" i="78"/>
  <c r="F23" i="78"/>
  <c r="F21" i="78"/>
  <c r="F33" i="78"/>
  <c r="AE9" i="1"/>
  <c r="M47" i="78"/>
  <c r="J50" i="78"/>
  <c r="K59" i="78"/>
  <c r="P74" i="78"/>
  <c r="Q72" i="78"/>
  <c r="F61" i="78"/>
  <c r="P61" i="78"/>
  <c r="Q59" i="78"/>
  <c r="F59" i="78"/>
  <c r="Q58" i="78"/>
  <c r="Q51" i="78"/>
  <c r="D46" i="78"/>
  <c r="F31" i="78"/>
  <c r="M19" i="78"/>
  <c r="D24" i="78"/>
  <c r="D23" i="78"/>
  <c r="D22" i="78"/>
  <c r="M17" i="78"/>
  <c r="C33" i="21"/>
  <c r="E59" i="21"/>
  <c r="F59" i="21" s="1"/>
  <c r="G59" i="21" s="1"/>
  <c r="H59" i="21" s="1"/>
  <c r="I59" i="21" s="1"/>
  <c r="J59" i="21" s="1"/>
  <c r="K59" i="21" s="1"/>
  <c r="L59" i="21" s="1"/>
  <c r="M59" i="21" s="1"/>
  <c r="D59" i="21"/>
  <c r="C38" i="39"/>
  <c r="D71" i="39"/>
  <c r="E71" i="39" s="1"/>
  <c r="F71" i="39" s="1"/>
  <c r="G71" i="39" s="1"/>
  <c r="H71" i="39" s="1"/>
  <c r="I71" i="39" s="1"/>
  <c r="J71" i="39" s="1"/>
  <c r="K71" i="39" s="1"/>
  <c r="L71" i="39" s="1"/>
  <c r="M71" i="39" s="1"/>
  <c r="N71" i="39" s="1"/>
  <c r="O71" i="39" s="1"/>
  <c r="AU3" i="77"/>
  <c r="AU4" i="77"/>
  <c r="AU5" i="77"/>
  <c r="AU6" i="77"/>
  <c r="AU7" i="77"/>
  <c r="AU8" i="77"/>
  <c r="AU9" i="77"/>
  <c r="AU10" i="77"/>
  <c r="AU11" i="77"/>
  <c r="AU12" i="77"/>
  <c r="AU13" i="77"/>
  <c r="AU14" i="77"/>
  <c r="AU15" i="77"/>
  <c r="AU16" i="77"/>
  <c r="AU17" i="77"/>
  <c r="AU18" i="77"/>
  <c r="AU19" i="77"/>
  <c r="AU20" i="77"/>
  <c r="AU21" i="77"/>
  <c r="AU22" i="77"/>
  <c r="AU23" i="77"/>
  <c r="AU24" i="77"/>
  <c r="AU25" i="77"/>
  <c r="AU26" i="77"/>
  <c r="AU27" i="77"/>
  <c r="AU28" i="77"/>
  <c r="AU29" i="77"/>
  <c r="AU30" i="77"/>
  <c r="AU31" i="77"/>
  <c r="AU32" i="77"/>
  <c r="AU33" i="77"/>
  <c r="AU34" i="77"/>
  <c r="AU35" i="77"/>
  <c r="AU36" i="77"/>
  <c r="AU37" i="77"/>
  <c r="AU38" i="77"/>
  <c r="AU39" i="77"/>
  <c r="AU40" i="77"/>
  <c r="AU41" i="77"/>
  <c r="AU42" i="77"/>
  <c r="AU2" i="77"/>
  <c r="C5" i="39"/>
  <c r="Y8" i="1"/>
  <c r="Y7" i="1"/>
  <c r="B21" i="1"/>
  <c r="B23" i="1" s="1"/>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M39" i="3"/>
  <c r="BN39" i="3"/>
  <c r="BO39" i="3"/>
  <c r="BP39" i="3"/>
  <c r="BQ39" i="3"/>
  <c r="BR39" i="3"/>
  <c r="BB40" i="3"/>
  <c r="BC40" i="3"/>
  <c r="BD40" i="3"/>
  <c r="BE40" i="3"/>
  <c r="BF40" i="3"/>
  <c r="BB41" i="3"/>
  <c r="BC41" i="3"/>
  <c r="BD41" i="3"/>
  <c r="BE41" i="3"/>
  <c r="BF41" i="3"/>
  <c r="BB42" i="3"/>
  <c r="BC42" i="3"/>
  <c r="BD42" i="3"/>
  <c r="BE42" i="3"/>
  <c r="BF42" i="3"/>
  <c r="BM13" i="3"/>
  <c r="BN13" i="3"/>
  <c r="BO13" i="3"/>
  <c r="BP13" i="3"/>
  <c r="BQ13" i="3"/>
  <c r="BR13" i="3"/>
  <c r="BB13" i="3"/>
  <c r="BC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H41" i="3"/>
  <c r="H42" i="3"/>
  <c r="AC13" i="3"/>
  <c r="H13" i="3"/>
  <c r="G13" i="3" s="1"/>
  <c r="BD10" i="3"/>
  <c r="BE10" i="3"/>
  <c r="BF10" i="3"/>
  <c r="I5" i="3"/>
  <c r="F19" i="6" s="1"/>
  <c r="K5" i="3"/>
  <c r="O5" i="3"/>
  <c r="M5" i="3"/>
  <c r="Q5" i="3"/>
  <c r="M47" i="67"/>
  <c r="J53" i="67"/>
  <c r="F1" i="67" s="1"/>
  <c r="M47" i="15"/>
  <c r="J50" i="15"/>
  <c r="D1" i="43"/>
  <c r="G2" i="43"/>
  <c r="C6" i="43"/>
  <c r="G17" i="43"/>
  <c r="H17" i="43"/>
  <c r="I17" i="43"/>
  <c r="J17" i="43"/>
  <c r="C17" i="43"/>
  <c r="C16" i="43"/>
  <c r="C10" i="43"/>
  <c r="C11" i="43" s="1"/>
  <c r="E10" i="43"/>
  <c r="C9" i="43"/>
  <c r="C15" i="43"/>
  <c r="D15" i="43"/>
  <c r="E15" i="43"/>
  <c r="F15" i="43"/>
  <c r="C12" i="43"/>
  <c r="C18" i="43"/>
  <c r="B2" i="1"/>
  <c r="J51" i="78" s="1"/>
  <c r="N6" i="71"/>
  <c r="B6" i="71"/>
  <c r="N5" i="71"/>
  <c r="B5" i="71"/>
  <c r="O6" i="71"/>
  <c r="C6" i="71"/>
  <c r="O5" i="71"/>
  <c r="C5" i="71"/>
  <c r="D5" i="71" s="1"/>
  <c r="P6" i="71"/>
  <c r="E6" i="71" s="1"/>
  <c r="E5" i="71" s="1"/>
  <c r="P5" i="71"/>
  <c r="Q6" i="71"/>
  <c r="F6" i="71" s="1"/>
  <c r="F5" i="71" s="1"/>
  <c r="Q5" i="71"/>
  <c r="D6" i="71"/>
  <c r="D7" i="71"/>
  <c r="N10" i="71"/>
  <c r="B10" i="71" s="1"/>
  <c r="B9" i="71" s="1"/>
  <c r="N9" i="71"/>
  <c r="N8" i="71"/>
  <c r="O10" i="71"/>
  <c r="C10" i="71" s="1"/>
  <c r="O9" i="71"/>
  <c r="O8" i="71"/>
  <c r="P10" i="71"/>
  <c r="E10" i="71" s="1"/>
  <c r="E9" i="71" s="1"/>
  <c r="E8" i="71" s="1"/>
  <c r="P9" i="71"/>
  <c r="P8" i="71"/>
  <c r="Q10" i="71"/>
  <c r="F10" i="71" s="1"/>
  <c r="F9" i="71" s="1"/>
  <c r="F8" i="71" s="1"/>
  <c r="Q9" i="71"/>
  <c r="Q8" i="71"/>
  <c r="D10" i="71"/>
  <c r="D11" i="71"/>
  <c r="N11" i="71"/>
  <c r="B12" i="71"/>
  <c r="B13" i="71" s="1"/>
  <c r="B14" i="71" s="1"/>
  <c r="O11" i="71"/>
  <c r="C12" i="71"/>
  <c r="D12" i="71" s="1"/>
  <c r="P11" i="71"/>
  <c r="E12" i="71" s="1"/>
  <c r="E13" i="71" s="1"/>
  <c r="E14" i="71" s="1"/>
  <c r="Q11" i="71"/>
  <c r="F12" i="71" s="1"/>
  <c r="F13" i="71" s="1"/>
  <c r="F14" i="71" s="1"/>
  <c r="N12" i="71"/>
  <c r="O12" i="71"/>
  <c r="P12" i="71"/>
  <c r="Q12" i="71"/>
  <c r="N13" i="71"/>
  <c r="O13" i="71"/>
  <c r="P13" i="71"/>
  <c r="Q13" i="71"/>
  <c r="D15" i="71"/>
  <c r="N15" i="71"/>
  <c r="B16" i="71"/>
  <c r="B17" i="71" s="1"/>
  <c r="B18" i="71" s="1"/>
  <c r="O15" i="71"/>
  <c r="C16" i="71"/>
  <c r="D16" i="71" s="1"/>
  <c r="P15" i="71"/>
  <c r="E16" i="71" s="1"/>
  <c r="E17" i="71" s="1"/>
  <c r="E18" i="71" s="1"/>
  <c r="Q15" i="71"/>
  <c r="F16" i="71" s="1"/>
  <c r="F17" i="71" s="1"/>
  <c r="F18" i="71" s="1"/>
  <c r="N16" i="71"/>
  <c r="O16" i="71"/>
  <c r="P16" i="71"/>
  <c r="Q16" i="71"/>
  <c r="N17" i="71"/>
  <c r="O17" i="71"/>
  <c r="P17" i="71"/>
  <c r="Q17" i="71"/>
  <c r="D19" i="71"/>
  <c r="N19" i="71"/>
  <c r="B20" i="71"/>
  <c r="B21" i="71" s="1"/>
  <c r="B22" i="71" s="1"/>
  <c r="O19" i="71"/>
  <c r="C20" i="71"/>
  <c r="D20" i="71" s="1"/>
  <c r="P19" i="71"/>
  <c r="E20" i="71" s="1"/>
  <c r="E21" i="71" s="1"/>
  <c r="E22" i="71" s="1"/>
  <c r="Q19" i="71"/>
  <c r="F20" i="71" s="1"/>
  <c r="F21" i="71" s="1"/>
  <c r="F22" i="71" s="1"/>
  <c r="N20" i="71"/>
  <c r="O20" i="71"/>
  <c r="P20" i="71"/>
  <c r="Q20" i="71"/>
  <c r="N21" i="71"/>
  <c r="O21" i="71"/>
  <c r="P21" i="71"/>
  <c r="Q21" i="71"/>
  <c r="M19" i="43"/>
  <c r="G20" i="43"/>
  <c r="J20" i="43"/>
  <c r="I20" i="43"/>
  <c r="AD5" i="3"/>
  <c r="AH5" i="3"/>
  <c r="AL5" i="3"/>
  <c r="AP5" i="3"/>
  <c r="I4" i="6"/>
  <c r="G3" i="43" s="1"/>
  <c r="C24" i="43"/>
  <c r="D5" i="43"/>
  <c r="F33" i="43"/>
  <c r="H33" i="43"/>
  <c r="F34" i="43"/>
  <c r="F35" i="43"/>
  <c r="F36" i="43"/>
  <c r="F37" i="43"/>
  <c r="F38" i="43"/>
  <c r="F39"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5" i="71"/>
  <c r="AG5" i="71"/>
  <c r="AE5" i="71"/>
  <c r="AF5" i="71"/>
  <c r="AD5" i="71"/>
  <c r="L3" i="71"/>
  <c r="K3" i="71"/>
  <c r="I3" i="71"/>
  <c r="J3" i="71"/>
  <c r="BD13" i="3"/>
  <c r="BE13" i="3"/>
  <c r="BF13" i="3"/>
  <c r="BG13" i="3"/>
  <c r="BH13" i="3"/>
  <c r="BI13" i="3"/>
  <c r="BJ13" i="3"/>
  <c r="BK13" i="3"/>
  <c r="BS13" i="3"/>
  <c r="BT13" i="3"/>
  <c r="BG39" i="3"/>
  <c r="BH39" i="3"/>
  <c r="BI39" i="3"/>
  <c r="BJ39" i="3"/>
  <c r="BK39" i="3"/>
  <c r="BS39" i="3"/>
  <c r="BT39" i="3"/>
  <c r="BG40" i="3"/>
  <c r="BA40" i="3" s="1"/>
  <c r="AZ40" i="3" s="1"/>
  <c r="BH40" i="3"/>
  <c r="BI40" i="3"/>
  <c r="BJ40" i="3"/>
  <c r="BK40" i="3"/>
  <c r="BM40" i="3"/>
  <c r="BN40" i="3"/>
  <c r="BO40" i="3"/>
  <c r="BP40" i="3"/>
  <c r="BQ40" i="3"/>
  <c r="BR40" i="3"/>
  <c r="BS40" i="3"/>
  <c r="BT40" i="3"/>
  <c r="BL40" i="3"/>
  <c r="BG41" i="3"/>
  <c r="BH41" i="3"/>
  <c r="BI41" i="3"/>
  <c r="BJ41" i="3"/>
  <c r="BK41" i="3"/>
  <c r="BM41" i="3"/>
  <c r="BN41" i="3"/>
  <c r="BO41" i="3"/>
  <c r="BP41" i="3"/>
  <c r="BQ41" i="3"/>
  <c r="BR41" i="3"/>
  <c r="BS41" i="3"/>
  <c r="BT41" i="3"/>
  <c r="BL41" i="3"/>
  <c r="BG42" i="3"/>
  <c r="BA42" i="3" s="1"/>
  <c r="AZ42" i="3" s="1"/>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40" i="3"/>
  <c r="G40" i="3" s="1"/>
  <c r="AC41" i="3"/>
  <c r="G41" i="3" s="1"/>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Q18" i="71"/>
  <c r="AB5" i="71"/>
  <c r="P7" i="71"/>
  <c r="P14" i="71"/>
  <c r="P18" i="71"/>
  <c r="AA5" i="71"/>
  <c r="O7" i="71"/>
  <c r="O14" i="71"/>
  <c r="Y6" i="71" s="1"/>
  <c r="Z6" i="71" s="1"/>
  <c r="O18" i="71"/>
  <c r="Y5" i="71"/>
  <c r="Z5" i="71" s="1"/>
  <c r="T6" i="71"/>
  <c r="S6" i="71"/>
  <c r="V6" i="71"/>
  <c r="U6" i="71"/>
  <c r="AB6" i="71"/>
  <c r="AA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71" i="71"/>
  <c r="F70" i="71"/>
  <c r="F69" i="71" s="1"/>
  <c r="F68" i="71" s="1"/>
  <c r="E70" i="71"/>
  <c r="E69" i="71"/>
  <c r="E68" i="71" s="1"/>
  <c r="C70" i="71"/>
  <c r="D70" i="71" s="1"/>
  <c r="B70" i="71"/>
  <c r="B69" i="71" s="1"/>
  <c r="B68" i="71"/>
  <c r="D67" i="71"/>
  <c r="F66" i="71"/>
  <c r="F65" i="71" s="1"/>
  <c r="F64" i="71" s="1"/>
  <c r="E66" i="71"/>
  <c r="E65" i="71"/>
  <c r="E64" i="71" s="1"/>
  <c r="C66" i="71"/>
  <c r="B66" i="71"/>
  <c r="B65" i="71" s="1"/>
  <c r="B64"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D47" i="71"/>
  <c r="Q46" i="71"/>
  <c r="P46" i="71"/>
  <c r="O46" i="71"/>
  <c r="N46" i="71"/>
  <c r="Q45" i="71"/>
  <c r="P45" i="71"/>
  <c r="O45" i="71"/>
  <c r="N45" i="71"/>
  <c r="Q44" i="71"/>
  <c r="P44" i="71"/>
  <c r="O44" i="71"/>
  <c r="N44" i="71"/>
  <c r="Q43" i="71"/>
  <c r="F44" i="71"/>
  <c r="F45" i="71" s="1"/>
  <c r="F46" i="71"/>
  <c r="V46" i="71" s="1"/>
  <c r="P43" i="71"/>
  <c r="E44" i="71" s="1"/>
  <c r="E45" i="71" s="1"/>
  <c r="O43" i="71"/>
  <c r="C44" i="71" s="1"/>
  <c r="C45" i="71" s="1"/>
  <c r="C46" i="71" s="1"/>
  <c r="T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C41" i="71" s="1"/>
  <c r="D41" i="71" s="1"/>
  <c r="N39" i="71"/>
  <c r="B40" i="71"/>
  <c r="B41" i="71" s="1"/>
  <c r="B42" i="71"/>
  <c r="S42" i="71" s="1"/>
  <c r="D39" i="71"/>
  <c r="Q38" i="71"/>
  <c r="P38" i="71"/>
  <c r="O38" i="71"/>
  <c r="N38" i="71"/>
  <c r="Q37" i="71"/>
  <c r="P37" i="71"/>
  <c r="O37" i="71"/>
  <c r="N37" i="71"/>
  <c r="Q36" i="71"/>
  <c r="P36" i="71"/>
  <c r="O36" i="71"/>
  <c r="N36" i="71"/>
  <c r="O35" i="71"/>
  <c r="C36" i="71"/>
  <c r="C37" i="71" s="1"/>
  <c r="D37" i="71" s="1"/>
  <c r="Q35" i="71"/>
  <c r="F36" i="71"/>
  <c r="F37" i="71" s="1"/>
  <c r="F38" i="71"/>
  <c r="V38" i="71" s="1"/>
  <c r="P35" i="71"/>
  <c r="E36" i="71" s="1"/>
  <c r="E37" i="71" s="1"/>
  <c r="N35" i="71"/>
  <c r="B36" i="71" s="1"/>
  <c r="B37" i="71" s="1"/>
  <c r="B38" i="71" s="1"/>
  <c r="S38" i="71" s="1"/>
  <c r="D35" i="71"/>
  <c r="Q34" i="71"/>
  <c r="P34" i="71"/>
  <c r="O34" i="71"/>
  <c r="N34" i="71"/>
  <c r="Q33" i="71"/>
  <c r="P33" i="71"/>
  <c r="O33" i="71"/>
  <c r="N33" i="71"/>
  <c r="Q32" i="71"/>
  <c r="P32" i="71"/>
  <c r="O32" i="71"/>
  <c r="N32" i="71"/>
  <c r="Q31" i="71"/>
  <c r="F32"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Q27" i="71"/>
  <c r="F28" i="71"/>
  <c r="F29" i="71" s="1"/>
  <c r="F30" i="71"/>
  <c r="V30"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Q23" i="71"/>
  <c r="F24" i="71"/>
  <c r="F25" i="71" s="1"/>
  <c r="F26" i="71"/>
  <c r="V26" i="71" s="1"/>
  <c r="P23" i="71"/>
  <c r="E24" i="71" s="1"/>
  <c r="E25" i="71"/>
  <c r="E26" i="71" s="1"/>
  <c r="U26" i="71" s="1"/>
  <c r="O23" i="71"/>
  <c r="C24" i="71"/>
  <c r="D24" i="71" s="1"/>
  <c r="N23" i="71"/>
  <c r="B24" i="71"/>
  <c r="B25" i="71" s="1"/>
  <c r="B26" i="7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4" i="71"/>
  <c r="Z14" i="71"/>
  <c r="AB13" i="71"/>
  <c r="Y13" i="71"/>
  <c r="Z13" i="71" s="1"/>
  <c r="AB12" i="71"/>
  <c r="Y12" i="71"/>
  <c r="Z12" i="71"/>
  <c r="V14" i="71"/>
  <c r="S14" i="71"/>
  <c r="X11" i="71"/>
  <c r="U14" i="71"/>
  <c r="AA11" i="71"/>
  <c r="S18" i="71"/>
  <c r="X15" i="71"/>
  <c r="S22" i="71"/>
  <c r="X19" i="71"/>
  <c r="U22" i="71"/>
  <c r="AA19" i="71"/>
  <c r="U18" i="71"/>
  <c r="AA15" i="71"/>
  <c r="Y11" i="71"/>
  <c r="Z11" i="71"/>
  <c r="AB11" i="71"/>
  <c r="X12" i="71"/>
  <c r="AA12" i="71"/>
  <c r="X13" i="71"/>
  <c r="AA13" i="71"/>
  <c r="X14" i="71"/>
  <c r="AA14" i="71"/>
  <c r="Y15" i="71"/>
  <c r="Z15" i="71" s="1"/>
  <c r="AB15" i="71"/>
  <c r="X16" i="71"/>
  <c r="AA16" i="71"/>
  <c r="X17" i="71"/>
  <c r="AA17" i="71"/>
  <c r="X18" i="71"/>
  <c r="AA18" i="71"/>
  <c r="Y19" i="71"/>
  <c r="Z19" i="71"/>
  <c r="AB19" i="71"/>
  <c r="X20" i="71"/>
  <c r="AA20" i="71"/>
  <c r="F33" i="71"/>
  <c r="F34" i="71" s="1"/>
  <c r="V34" i="71" s="1"/>
  <c r="Y3" i="71"/>
  <c r="Z3" i="71"/>
  <c r="Y7" i="71"/>
  <c r="Z7" i="71"/>
  <c r="Y8" i="71"/>
  <c r="Z8" i="71"/>
  <c r="Y9" i="71"/>
  <c r="Z9" i="71"/>
  <c r="Y10" i="71"/>
  <c r="Z10" i="71"/>
  <c r="X7" i="71"/>
  <c r="X8" i="71"/>
  <c r="X9" i="71"/>
  <c r="X3" i="71"/>
  <c r="X10" i="71"/>
  <c r="C25" i="71"/>
  <c r="D25" i="71" s="1"/>
  <c r="C29" i="71"/>
  <c r="D29" i="71" s="1"/>
  <c r="D28" i="71"/>
  <c r="D32" i="71"/>
  <c r="E38" i="71"/>
  <c r="U38" i="71" s="1"/>
  <c r="E41" i="71"/>
  <c r="E42" i="71" s="1"/>
  <c r="U42" i="71" s="1"/>
  <c r="E46" i="71"/>
  <c r="U46" i="71" s="1"/>
  <c r="U50" i="71"/>
  <c r="E49" i="71"/>
  <c r="E48" i="71" s="1"/>
  <c r="P47" i="71" s="1"/>
  <c r="D36" i="71"/>
  <c r="D40" i="71"/>
  <c r="D44" i="71"/>
  <c r="T50" i="71"/>
  <c r="O50" i="71"/>
  <c r="D50" i="71"/>
  <c r="C49" i="71"/>
  <c r="Q50" i="71"/>
  <c r="E53" i="71"/>
  <c r="E52" i="71" s="1"/>
  <c r="D54" i="71"/>
  <c r="C57" i="71"/>
  <c r="E57" i="71"/>
  <c r="E56" i="71" s="1"/>
  <c r="D58" i="71"/>
  <c r="E61" i="71"/>
  <c r="E60" i="71" s="1"/>
  <c r="C69" i="71"/>
  <c r="D69" i="71" s="1"/>
  <c r="T10" i="71"/>
  <c r="S10" i="71"/>
  <c r="AB3" i="71"/>
  <c r="AB7" i="71"/>
  <c r="AB8" i="71"/>
  <c r="AB9" i="71"/>
  <c r="AB10" i="71"/>
  <c r="AA3" i="71"/>
  <c r="AA7" i="71"/>
  <c r="AA8" i="71"/>
  <c r="AA9" i="71"/>
  <c r="AA10" i="71"/>
  <c r="U10" i="71"/>
  <c r="C48" i="71"/>
  <c r="O49" i="71"/>
  <c r="D49" i="71"/>
  <c r="D57" i="71"/>
  <c r="C56" i="71"/>
  <c r="D56" i="71"/>
  <c r="C42" i="71"/>
  <c r="T42" i="71" s="1"/>
  <c r="C38" i="71"/>
  <c r="T38" i="71" s="1"/>
  <c r="P49" i="71"/>
  <c r="C26" i="71"/>
  <c r="T26" i="71" s="1"/>
  <c r="V10" i="71"/>
  <c r="P48" i="71"/>
  <c r="D48" i="71"/>
  <c r="D26" i="71"/>
  <c r="D42"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H18" i="36"/>
  <c r="AB18" i="36" s="1"/>
  <c r="F18" i="36"/>
  <c r="C18" i="36"/>
  <c r="Q18" i="35"/>
  <c r="Z18" i="35"/>
  <c r="D68" i="35"/>
  <c r="E68" i="35"/>
  <c r="F68" i="35" s="1"/>
  <c r="G68" i="35" s="1"/>
  <c r="F18" i="35"/>
  <c r="AA18" i="35"/>
  <c r="C18" i="35"/>
  <c r="Q21" i="37"/>
  <c r="Z21" i="37" s="1"/>
  <c r="D77" i="37"/>
  <c r="E77" i="37" s="1"/>
  <c r="F77" i="37" s="1"/>
  <c r="C21" i="37"/>
  <c r="Q21" i="34"/>
  <c r="Z21" i="34"/>
  <c r="D84" i="34"/>
  <c r="E84" i="34"/>
  <c r="F21" i="34"/>
  <c r="AA21" i="34"/>
  <c r="C21" i="34"/>
  <c r="Q21" i="33"/>
  <c r="Z21" i="33" s="1"/>
  <c r="D83" i="33"/>
  <c r="E83" i="33" s="1"/>
  <c r="C21" i="33"/>
  <c r="C21" i="21"/>
  <c r="Q21" i="21"/>
  <c r="Z21" i="21" s="1"/>
  <c r="D83" i="21"/>
  <c r="F21" i="21"/>
  <c r="AA21" i="21" s="1"/>
  <c r="D81" i="21"/>
  <c r="H19" i="21" s="1"/>
  <c r="G20" i="20"/>
  <c r="B86" i="43"/>
  <c r="C22" i="20"/>
  <c r="B75" i="43"/>
  <c r="B55" i="43"/>
  <c r="B66" i="43"/>
  <c r="C25" i="40"/>
  <c r="C29" i="39"/>
  <c r="S25" i="40"/>
  <c r="S29" i="39"/>
  <c r="S21" i="34"/>
  <c r="F94" i="40"/>
  <c r="H25" i="40"/>
  <c r="G94" i="40"/>
  <c r="J25" i="40"/>
  <c r="F103" i="39"/>
  <c r="H29" i="39"/>
  <c r="G103" i="39"/>
  <c r="J29" i="39"/>
  <c r="G66" i="36"/>
  <c r="J18" i="36"/>
  <c r="H18" i="35"/>
  <c r="S18" i="35"/>
  <c r="J18" i="35"/>
  <c r="W18" i="35" s="1"/>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F20" i="69"/>
  <c r="E10" i="69"/>
  <c r="E9" i="69"/>
  <c r="F7" i="69"/>
  <c r="C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A7" i="1"/>
  <c r="B7" i="1" s="1"/>
  <c r="E7" i="1" s="1"/>
  <c r="A8" i="1"/>
  <c r="B8" i="1"/>
  <c r="E8" i="1" s="1"/>
  <c r="A9" i="1"/>
  <c r="R9" i="1" s="1"/>
  <c r="A10" i="1"/>
  <c r="A11" i="1"/>
  <c r="B11" i="1" s="1"/>
  <c r="E11" i="1" s="1"/>
  <c r="A12" i="1"/>
  <c r="A13" i="1"/>
  <c r="B13" i="1" s="1"/>
  <c r="E13" i="1" s="1"/>
  <c r="A6" i="1"/>
  <c r="F3" i="35"/>
  <c r="E23" i="6"/>
  <c r="K10" i="1"/>
  <c r="M10" i="1" s="1"/>
  <c r="O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s="1"/>
  <c r="A4" i="62"/>
  <c r="B70" i="72" s="1"/>
  <c r="F33" i="9"/>
  <c r="B37" i="48"/>
  <c r="B2" i="72"/>
  <c r="B13" i="53"/>
  <c r="B29" i="72"/>
  <c r="R35" i="4"/>
  <c r="Q35" i="4"/>
  <c r="P35" i="4"/>
  <c r="O35" i="4"/>
  <c r="N35" i="4"/>
  <c r="M35" i="4"/>
  <c r="L35" i="4"/>
  <c r="K34" i="4"/>
  <c r="T34" i="4" s="1"/>
  <c r="G13" i="1"/>
  <c r="I15" i="4"/>
  <c r="H15" i="4"/>
  <c r="G15" i="4"/>
  <c r="E15" i="4"/>
  <c r="F8" i="1" s="1"/>
  <c r="G8" i="1" s="1"/>
  <c r="D15" i="4"/>
  <c r="F6" i="1" s="1"/>
  <c r="G6" i="1" s="1"/>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A7" i="43"/>
  <c r="F33" i="15"/>
  <c r="F61" i="15" s="1"/>
  <c r="M19" i="15"/>
  <c r="B22" i="1"/>
  <c r="B24" i="1"/>
  <c r="F50" i="69" s="1"/>
  <c r="B43" i="1"/>
  <c r="D78" i="9"/>
  <c r="E19" i="6"/>
  <c r="E20" i="6"/>
  <c r="E21" i="6"/>
  <c r="K8" i="1"/>
  <c r="M8" i="1" s="1"/>
  <c r="O8" i="1" s="1"/>
  <c r="P8" i="1" s="1"/>
  <c r="F23" i="15"/>
  <c r="D24" i="15"/>
  <c r="E22" i="6"/>
  <c r="E24" i="6"/>
  <c r="E25" i="6"/>
  <c r="E26" i="6"/>
  <c r="BC10" i="3"/>
  <c r="BB10" i="3"/>
  <c r="F35" i="11"/>
  <c r="F36" i="11"/>
  <c r="F38" i="11"/>
  <c r="E37" i="11"/>
  <c r="F20" i="11"/>
  <c r="F21" i="11"/>
  <c r="C21" i="11" s="1"/>
  <c r="F7" i="11"/>
  <c r="C7" i="11" s="1"/>
  <c r="C5" i="11" s="1"/>
  <c r="F12" i="12"/>
  <c r="F13" i="12"/>
  <c r="F15" i="12"/>
  <c r="E14" i="12"/>
  <c r="BC11" i="3"/>
  <c r="BD11" i="3"/>
  <c r="BB11" i="3"/>
  <c r="E19" i="12"/>
  <c r="E20" i="12"/>
  <c r="E17" i="12"/>
  <c r="F22" i="12"/>
  <c r="F23" i="12"/>
  <c r="F24" i="12"/>
  <c r="I55" i="9"/>
  <c r="F55" i="9" s="1"/>
  <c r="O53" i="9" s="1"/>
  <c r="D89" i="9"/>
  <c r="C89" i="9"/>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c r="F124" i="39" s="1"/>
  <c r="G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c r="F95" i="39" s="1"/>
  <c r="D93" i="39"/>
  <c r="E93" i="39" s="1"/>
  <c r="F93" i="39" s="1"/>
  <c r="G93" i="39" s="1"/>
  <c r="D91" i="39"/>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AA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c r="F125" i="21" s="1"/>
  <c r="G125" i="21"/>
  <c r="D123" i="21"/>
  <c r="E123" i="21" s="1"/>
  <c r="F123" i="21" s="1"/>
  <c r="D119" i="21"/>
  <c r="D117" i="21"/>
  <c r="D115" i="21"/>
  <c r="D113" i="21"/>
  <c r="E113" i="21" s="1"/>
  <c r="F113" i="21" s="1"/>
  <c r="G113" i="21" s="1"/>
  <c r="D110" i="21"/>
  <c r="E110" i="21"/>
  <c r="F110" i="21" s="1"/>
  <c r="G110" i="21" s="1"/>
  <c r="H110" i="21" s="1"/>
  <c r="I110" i="21" s="1"/>
  <c r="J110" i="21" s="1"/>
  <c r="K110" i="21" s="1"/>
  <c r="L110" i="21" s="1"/>
  <c r="M110" i="21" s="1"/>
  <c r="J36" i="21"/>
  <c r="AC36" i="21"/>
  <c r="D108" i="21"/>
  <c r="E108" i="2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43" i="21"/>
  <c r="AB43" i="21"/>
  <c r="F36" i="21"/>
  <c r="S36" i="21"/>
  <c r="H35" i="21"/>
  <c r="AB35" i="21" s="1"/>
  <c r="J8" i="21"/>
  <c r="AC8" i="21"/>
  <c r="H8" i="21"/>
  <c r="U8" i="21"/>
  <c r="H10" i="21"/>
  <c r="AB10" i="21"/>
  <c r="J34" i="21"/>
  <c r="W34" i="21"/>
  <c r="H36" i="21"/>
  <c r="U36" i="2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W40" i="39"/>
  <c r="U30" i="37"/>
  <c r="E103" i="37"/>
  <c r="F103" i="37" s="1"/>
  <c r="G103" i="37"/>
  <c r="H103" i="37" s="1"/>
  <c r="I103" i="37" s="1"/>
  <c r="J103" i="37" s="1"/>
  <c r="K103" i="37" s="1"/>
  <c r="L103" i="37" s="1"/>
  <c r="M103" i="37" s="1"/>
  <c r="F39" i="37"/>
  <c r="S39" i="37"/>
  <c r="F29" i="36"/>
  <c r="AA29" i="36" s="1"/>
  <c r="F16" i="36"/>
  <c r="AA16" i="36"/>
  <c r="W28" i="36"/>
  <c r="S30" i="36"/>
  <c r="AA31" i="36"/>
  <c r="W31" i="36"/>
  <c r="U31" i="36"/>
  <c r="H22" i="35"/>
  <c r="AB22" i="35" s="1"/>
  <c r="AC27" i="35"/>
  <c r="U31" i="35"/>
  <c r="W22" i="35"/>
  <c r="F36" i="34"/>
  <c r="J35" i="34"/>
  <c r="S34" i="34"/>
  <c r="U34" i="34"/>
  <c r="H39" i="33"/>
  <c r="AB39" i="33" s="1"/>
  <c r="F26" i="33"/>
  <c r="AA26" i="33" s="1"/>
  <c r="S9" i="33"/>
  <c r="U33" i="33"/>
  <c r="U35" i="33"/>
  <c r="S40" i="33"/>
  <c r="W33" i="33"/>
  <c r="W39" i="33"/>
  <c r="H39" i="37"/>
  <c r="AB39" i="37" s="1"/>
  <c r="S27" i="35"/>
  <c r="F11" i="40"/>
  <c r="AA11" i="40"/>
  <c r="H11" i="40"/>
  <c r="AB11" i="40"/>
  <c r="AB39" i="40"/>
  <c r="AA9" i="40"/>
  <c r="U9" i="40"/>
  <c r="U38" i="40"/>
  <c r="W31" i="40"/>
  <c r="S38" i="40"/>
  <c r="F42" i="39"/>
  <c r="AA42" i="39" s="1"/>
  <c r="H40" i="39"/>
  <c r="AB40" i="39" s="1"/>
  <c r="H39" i="39"/>
  <c r="U39" i="39" s="1"/>
  <c r="S34" i="39"/>
  <c r="H34" i="39"/>
  <c r="U34" i="39"/>
  <c r="E109" i="39"/>
  <c r="H31" i="39"/>
  <c r="AB31" i="39" s="1"/>
  <c r="F31" i="39"/>
  <c r="AA31" i="39" s="1"/>
  <c r="E101" i="39"/>
  <c r="F101" i="39" s="1"/>
  <c r="H19" i="39"/>
  <c r="AB19" i="39"/>
  <c r="F19" i="39"/>
  <c r="AA19" i="39"/>
  <c r="J23" i="40"/>
  <c r="AC23" i="40"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c r="U34" i="21"/>
  <c r="S34" i="21"/>
  <c r="C27" i="39"/>
  <c r="S40" i="39"/>
  <c r="H32" i="33"/>
  <c r="AB32" i="33" s="1"/>
  <c r="H37" i="40"/>
  <c r="U37" i="40" s="1"/>
  <c r="H36" i="40"/>
  <c r="AB36" i="40" s="1"/>
  <c r="F35" i="40"/>
  <c r="AA35" i="40" s="1"/>
  <c r="H23" i="40"/>
  <c r="AB23" i="40" s="1"/>
  <c r="H17" i="40"/>
  <c r="U17" i="40" s="1"/>
  <c r="J15" i="40"/>
  <c r="W15" i="40" s="1"/>
  <c r="J11" i="40"/>
  <c r="W11" i="40" s="1"/>
  <c r="AB8" i="39"/>
  <c r="AB12" i="33"/>
  <c r="AB12" i="35"/>
  <c r="W32" i="40"/>
  <c r="S44" i="39"/>
  <c r="F37" i="39"/>
  <c r="AA37" i="39" s="1"/>
  <c r="J34" i="36"/>
  <c r="W34" i="36" s="1"/>
  <c r="U30" i="36"/>
  <c r="J30" i="35"/>
  <c r="W30" i="35"/>
  <c r="H30" i="35"/>
  <c r="AB30" i="35"/>
  <c r="F22" i="35"/>
  <c r="AA22" i="35"/>
  <c r="H10" i="35"/>
  <c r="U10" i="35"/>
  <c r="F33" i="36"/>
  <c r="AA33" i="36" s="1"/>
  <c r="W30" i="36"/>
  <c r="H16" i="36"/>
  <c r="AB16" i="36"/>
  <c r="F85" i="36"/>
  <c r="G85" i="36" s="1"/>
  <c r="H85" i="36"/>
  <c r="I85" i="36" s="1"/>
  <c r="J85" i="36" s="1"/>
  <c r="K85" i="36" s="1"/>
  <c r="L85" i="36" s="1"/>
  <c r="M85" i="36" s="1"/>
  <c r="J29" i="36"/>
  <c r="AC29" i="36" s="1"/>
  <c r="F12" i="36"/>
  <c r="S12" i="36" s="1"/>
  <c r="F24" i="36"/>
  <c r="AA24"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F101" i="37"/>
  <c r="G101" i="37" s="1"/>
  <c r="H101" i="37"/>
  <c r="I101" i="37" s="1"/>
  <c r="J101" i="37" s="1"/>
  <c r="K101" i="37" s="1"/>
  <c r="L101" i="37" s="1"/>
  <c r="M101" i="37" s="1"/>
  <c r="J34" i="37"/>
  <c r="W34" i="37" s="1"/>
  <c r="S10" i="37"/>
  <c r="AA39" i="37"/>
  <c r="AB34" i="37"/>
  <c r="J33" i="37"/>
  <c r="AC33" i="37"/>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J28" i="34"/>
  <c r="W28" i="34" s="1"/>
  <c r="F41" i="33"/>
  <c r="AA41" i="33" s="1"/>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15" i="34"/>
  <c r="S41" i="33"/>
  <c r="H37" i="33"/>
  <c r="AB37" i="33"/>
  <c r="H15" i="33"/>
  <c r="AB15" i="33"/>
  <c r="H11" i="33"/>
  <c r="AB11" i="33"/>
  <c r="F28" i="40"/>
  <c r="AA28" i="40"/>
  <c r="AA29" i="35"/>
  <c r="AA42" i="34"/>
  <c r="S42" i="34"/>
  <c r="AC38" i="34"/>
  <c r="AA38" i="34"/>
  <c r="J37" i="34"/>
  <c r="AC37" i="34" s="1"/>
  <c r="J11" i="33"/>
  <c r="W11" i="33" s="1"/>
  <c r="S28" i="34"/>
  <c r="U23" i="40"/>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F17" i="21"/>
  <c r="AA17" i="21"/>
  <c r="H17" i="21"/>
  <c r="AB17" i="21"/>
  <c r="F15" i="21"/>
  <c r="S15"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U35" i="35"/>
  <c r="W23" i="35"/>
  <c r="W14" i="37"/>
  <c r="AB28" i="37"/>
  <c r="U33" i="37"/>
  <c r="U39"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H15" i="39"/>
  <c r="U15" i="39" s="1"/>
  <c r="J15" i="39"/>
  <c r="W15" i="39" s="1"/>
  <c r="AB34" i="39"/>
  <c r="U40" i="39"/>
  <c r="S42" i="39"/>
  <c r="W14" i="39"/>
  <c r="W8" i="39"/>
  <c r="J19" i="40"/>
  <c r="AC19" i="40"/>
  <c r="J50" i="40"/>
  <c r="B54" i="72"/>
  <c r="H103" i="9"/>
  <c r="D8" i="53"/>
  <c r="B16" i="53"/>
  <c r="B33" i="72"/>
  <c r="C7" i="37"/>
  <c r="C52" i="37" s="1"/>
  <c r="C7" i="36"/>
  <c r="W35" i="40"/>
  <c r="A118" i="9"/>
  <c r="A4" i="52"/>
  <c r="B41" i="72"/>
  <c r="A12" i="52"/>
  <c r="B56" i="72" s="1"/>
  <c r="G4" i="4"/>
  <c r="I4" i="4"/>
  <c r="K5" i="4"/>
  <c r="B47" i="48" s="1"/>
  <c r="A2" i="9"/>
  <c r="N2" i="43"/>
  <c r="F59" i="43"/>
  <c r="AC5" i="3"/>
  <c r="BP5" i="3"/>
  <c r="BN5" i="3"/>
  <c r="BT5" i="3"/>
  <c r="BR5" i="3"/>
  <c r="G28" i="6"/>
  <c r="U36" i="40"/>
  <c r="N4" i="43"/>
  <c r="F81" i="43"/>
  <c r="H83" i="43"/>
  <c r="F48" i="43"/>
  <c r="H52" i="43"/>
  <c r="N7" i="43"/>
  <c r="F70" i="43"/>
  <c r="H73" i="43" s="1"/>
  <c r="M6" i="43"/>
  <c r="M11" i="43"/>
  <c r="E17" i="43"/>
  <c r="S14" i="35"/>
  <c r="U43" i="21"/>
  <c r="U35" i="21"/>
  <c r="AC35" i="21"/>
  <c r="U10" i="21"/>
  <c r="G9" i="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D93" i="9"/>
  <c r="K6" i="1"/>
  <c r="M6" i="1" s="1"/>
  <c r="O6" i="1" s="1"/>
  <c r="P6" i="1" s="1"/>
  <c r="G29" i="6"/>
  <c r="AC26" i="33"/>
  <c r="W26" i="33"/>
  <c r="W27" i="34"/>
  <c r="AC27" i="34"/>
  <c r="AB33" i="36"/>
  <c r="U33" i="36"/>
  <c r="AC12" i="39"/>
  <c r="W12" i="39"/>
  <c r="AC39" i="40"/>
  <c r="W39" i="40"/>
  <c r="W12" i="33"/>
  <c r="AC12" i="33"/>
  <c r="AA32" i="36"/>
  <c r="S32" i="36"/>
  <c r="U30" i="33"/>
  <c r="AC13" i="34"/>
  <c r="AA47" i="34"/>
  <c r="W28" i="37"/>
  <c r="S19" i="39"/>
  <c r="F12" i="33"/>
  <c r="H12" i="39"/>
  <c r="AB12" i="39" s="1"/>
  <c r="F39" i="40"/>
  <c r="S12" i="1"/>
  <c r="AR12" i="1" s="1"/>
  <c r="R12" i="1"/>
  <c r="B12" i="1"/>
  <c r="E12" i="1"/>
  <c r="S10" i="1"/>
  <c r="AQ10" i="1" s="1"/>
  <c r="R10" i="1"/>
  <c r="B10" i="1"/>
  <c r="E10" i="1" s="1"/>
  <c r="D1" i="66"/>
  <c r="E10" i="66" s="1"/>
  <c r="K12" i="1"/>
  <c r="M12" i="1" s="1"/>
  <c r="S13" i="1"/>
  <c r="AR13" i="1" s="1"/>
  <c r="R13" i="1"/>
  <c r="S11" i="1"/>
  <c r="AQ11" i="1" s="1"/>
  <c r="R11" i="1"/>
  <c r="S9" i="1"/>
  <c r="AR9" i="1"/>
  <c r="J51" i="67"/>
  <c r="H100" i="43"/>
  <c r="C30" i="66"/>
  <c r="E26" i="66"/>
  <c r="AC34" i="33"/>
  <c r="AA34" i="33"/>
  <c r="B41" i="1"/>
  <c r="F53" i="9"/>
  <c r="S22" i="3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F107" i="39"/>
  <c r="G107" i="39"/>
  <c r="U25" i="39"/>
  <c r="AB27" i="39"/>
  <c r="U31" i="39"/>
  <c r="S25" i="39"/>
  <c r="J21" i="39"/>
  <c r="F21" i="39"/>
  <c r="G95" i="39"/>
  <c r="H21" i="39"/>
  <c r="W19" i="39"/>
  <c r="U19" i="39"/>
  <c r="AA12" i="39"/>
  <c r="S9" i="39"/>
  <c r="U14" i="39"/>
  <c r="AC13" i="39"/>
  <c r="U12" i="39"/>
  <c r="S23" i="36"/>
  <c r="U13" i="36"/>
  <c r="AC27" i="36"/>
  <c r="AB27" i="36"/>
  <c r="U26" i="36"/>
  <c r="S33" i="36"/>
  <c r="AA26"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6" i="21"/>
  <c r="J15" i="21"/>
  <c r="W15" i="21" s="1"/>
  <c r="F77" i="21"/>
  <c r="G77" i="21" s="1"/>
  <c r="F23" i="21"/>
  <c r="S23" i="21" s="1"/>
  <c r="E85" i="21"/>
  <c r="AA14" i="21"/>
  <c r="AB8" i="21"/>
  <c r="S8" i="21"/>
  <c r="M3" i="43"/>
  <c r="N10" i="43"/>
  <c r="M1" i="43"/>
  <c r="M8" i="43"/>
  <c r="N8" i="43"/>
  <c r="N9" i="43"/>
  <c r="D120" i="9"/>
  <c r="F34" i="67"/>
  <c r="F62" i="67" s="1"/>
  <c r="M20" i="67"/>
  <c r="F34" i="15"/>
  <c r="F62" i="15"/>
  <c r="G30" i="6"/>
  <c r="G31" i="6"/>
  <c r="J56" i="9"/>
  <c r="J57" i="9"/>
  <c r="A24" i="51"/>
  <c r="B18" i="72"/>
  <c r="U29" i="34"/>
  <c r="P10" i="1"/>
  <c r="L101" i="43"/>
  <c r="L109" i="43" s="1"/>
  <c r="H101" i="43"/>
  <c r="H104" i="43" s="1"/>
  <c r="E32" i="6"/>
  <c r="G1" i="68"/>
  <c r="K1" i="12"/>
  <c r="H102" i="43"/>
  <c r="L106" i="43"/>
  <c r="S2" i="43"/>
  <c r="AQ12" i="1"/>
  <c r="T10" i="1"/>
  <c r="E19" i="69"/>
  <c r="E19" i="68"/>
  <c r="E19" i="11"/>
  <c r="E1" i="73"/>
  <c r="K1" i="73" s="1"/>
  <c r="G41" i="69"/>
  <c r="G22" i="69"/>
  <c r="G41" i="68"/>
  <c r="G22" i="68"/>
  <c r="G27" i="12"/>
  <c r="G26" i="12"/>
  <c r="G41" i="11"/>
  <c r="G22" i="11"/>
  <c r="G25" i="12"/>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F100" i="43"/>
  <c r="D9" i="53"/>
  <c r="B25" i="72" s="1"/>
  <c r="B24" i="72"/>
  <c r="H85" i="43"/>
  <c r="H81" i="43"/>
  <c r="H84" i="43"/>
  <c r="H88" i="43"/>
  <c r="H53" i="43"/>
  <c r="H54" i="43"/>
  <c r="H78" i="43"/>
  <c r="H70" i="43"/>
  <c r="H71" i="43"/>
  <c r="M7" i="43"/>
  <c r="N6" i="43"/>
  <c r="M2" i="43"/>
  <c r="M10" i="43"/>
  <c r="N3" i="43"/>
  <c r="N11" i="43"/>
  <c r="M9" i="43"/>
  <c r="N12" i="43"/>
  <c r="N5" i="43"/>
  <c r="M5" i="43"/>
  <c r="M12" i="43"/>
  <c r="M4" i="43"/>
  <c r="B19" i="53"/>
  <c r="B37" i="72" s="1"/>
  <c r="C7" i="35"/>
  <c r="C48" i="35" s="1"/>
  <c r="C7" i="40"/>
  <c r="C63" i="40" s="1"/>
  <c r="M47" i="9"/>
  <c r="T35" i="4"/>
  <c r="A19" i="51" s="1"/>
  <c r="B14" i="72" s="1"/>
  <c r="C46" i="36"/>
  <c r="D46" i="36" s="1"/>
  <c r="A4" i="51"/>
  <c r="B6" i="72"/>
  <c r="C94" i="9"/>
  <c r="C92" i="9"/>
  <c r="H62" i="43"/>
  <c r="H66" i="43"/>
  <c r="H61" i="43"/>
  <c r="H65" i="43"/>
  <c r="H60" i="43"/>
  <c r="H64" i="43"/>
  <c r="H59" i="43"/>
  <c r="H63" i="43"/>
  <c r="H67" i="43"/>
  <c r="H55" i="43"/>
  <c r="H51" i="43"/>
  <c r="H56" i="43"/>
  <c r="H76" i="43"/>
  <c r="H72" i="43"/>
  <c r="H77" i="43"/>
  <c r="L20" i="6"/>
  <c r="B6" i="1"/>
  <c r="E6" i="1"/>
  <c r="K11" i="1"/>
  <c r="M11" i="1" s="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W33" i="21" s="1"/>
  <c r="H33" i="21"/>
  <c r="AB33" i="21" s="1"/>
  <c r="AA26" i="21"/>
  <c r="AB14" i="21"/>
  <c r="AB46" i="21"/>
  <c r="U40" i="21"/>
  <c r="AB31" i="21"/>
  <c r="U31" i="21"/>
  <c r="AC15" i="21"/>
  <c r="U13" i="21"/>
  <c r="AB13" i="21"/>
  <c r="W8" i="21"/>
  <c r="H15" i="21"/>
  <c r="U15" i="21" s="1"/>
  <c r="J17" i="21"/>
  <c r="AC17" i="21" s="1"/>
  <c r="AC19" i="21"/>
  <c r="W39" i="21"/>
  <c r="AC14" i="21"/>
  <c r="W30" i="21"/>
  <c r="S46" i="21"/>
  <c r="H45" i="21"/>
  <c r="U45" i="21"/>
  <c r="F29" i="21"/>
  <c r="S29" i="21"/>
  <c r="F13" i="21"/>
  <c r="AA13" i="21"/>
  <c r="AC38" i="21"/>
  <c r="H9" i="21"/>
  <c r="U9" i="21" s="1"/>
  <c r="J9" i="21"/>
  <c r="J32" i="21"/>
  <c r="W32" i="21" s="1"/>
  <c r="AA31" i="21"/>
  <c r="U17" i="21"/>
  <c r="W29" i="21"/>
  <c r="S19" i="21"/>
  <c r="S9" i="21"/>
  <c r="AA9" i="21"/>
  <c r="K141" i="21"/>
  <c r="K144" i="21"/>
  <c r="K143" i="21"/>
  <c r="U27" i="21"/>
  <c r="AB25" i="21"/>
  <c r="AB44" i="21"/>
  <c r="AA30" i="21"/>
  <c r="W13"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30" i="68"/>
  <c r="F30" i="11"/>
  <c r="C48" i="11" s="1"/>
  <c r="F28" i="67"/>
  <c r="F31" i="12"/>
  <c r="F52" i="9"/>
  <c r="M18" i="67"/>
  <c r="F32" i="67"/>
  <c r="F60" i="67" s="1"/>
  <c r="F30" i="69"/>
  <c r="F32" i="15"/>
  <c r="F60" i="15"/>
  <c r="M18" i="15"/>
  <c r="F28" i="15"/>
  <c r="T11" i="1"/>
  <c r="AQ9" i="1"/>
  <c r="T9" i="1"/>
  <c r="T13" i="1"/>
  <c r="AA39" i="40"/>
  <c r="S39" i="40"/>
  <c r="S12" i="33"/>
  <c r="AA12" i="33"/>
  <c r="D68" i="9"/>
  <c r="F54" i="9"/>
  <c r="J32" i="39"/>
  <c r="AC32" i="39" s="1"/>
  <c r="H107" i="39"/>
  <c r="I107" i="39"/>
  <c r="J107" i="39" s="1"/>
  <c r="K107" i="39" s="1"/>
  <c r="L107" i="39" s="1"/>
  <c r="M107" i="39" s="1"/>
  <c r="H32" i="39"/>
  <c r="AA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A23" i="21"/>
  <c r="AB15" i="21"/>
  <c r="J23" i="21"/>
  <c r="F85" i="21"/>
  <c r="G85" i="21" s="1"/>
  <c r="H23" i="21"/>
  <c r="U23" i="21" s="1"/>
  <c r="S13" i="21"/>
  <c r="D6" i="52"/>
  <c r="D121" i="9"/>
  <c r="D7" i="52"/>
  <c r="K120" i="9"/>
  <c r="S6" i="43"/>
  <c r="S4" i="43"/>
  <c r="S3" i="43"/>
  <c r="S7" i="43"/>
  <c r="J22" i="43"/>
  <c r="J59" i="9"/>
  <c r="J61" i="9" s="1"/>
  <c r="R22" i="31"/>
  <c r="B21" i="31"/>
  <c r="AP7" i="1"/>
  <c r="C36" i="69" s="1"/>
  <c r="M7" i="1"/>
  <c r="O7" i="1" s="1"/>
  <c r="AB45" i="21"/>
  <c r="AC33" i="21"/>
  <c r="AB9" i="21"/>
  <c r="W9" i="21"/>
  <c r="AC9" i="21"/>
  <c r="AA10" i="21"/>
  <c r="F31" i="15"/>
  <c r="M17" i="15"/>
  <c r="F59" i="67"/>
  <c r="F59" i="15"/>
  <c r="F31" i="67"/>
  <c r="M17" i="67"/>
  <c r="C30" i="11"/>
  <c r="E6" i="70"/>
  <c r="A18" i="62"/>
  <c r="B64" i="72" s="1"/>
  <c r="D3" i="21"/>
  <c r="U32" i="39"/>
  <c r="AB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AB23" i="21"/>
  <c r="AC23" i="21"/>
  <c r="W23" i="21"/>
  <c r="Q52" i="67"/>
  <c r="AC11" i="37"/>
  <c r="W11" i="37"/>
  <c r="AC11" i="34"/>
  <c r="C19" i="68"/>
  <c r="AE6" i="1"/>
  <c r="AG6" i="1"/>
  <c r="H109" i="9"/>
  <c r="H110" i="9" s="1"/>
  <c r="D18" i="53" s="1"/>
  <c r="B35" i="72" s="1"/>
  <c r="D124" i="9"/>
  <c r="D10" i="52" s="1"/>
  <c r="H14" i="74"/>
  <c r="B7" i="74" s="1"/>
  <c r="H112" i="9"/>
  <c r="D21" i="53" s="1"/>
  <c r="B39" i="72" s="1"/>
  <c r="H111" i="9"/>
  <c r="D126" i="9" s="1"/>
  <c r="D59" i="9"/>
  <c r="M55" i="9" s="1"/>
  <c r="AD3" i="71"/>
  <c r="C23" i="43"/>
  <c r="C21" i="43" s="1"/>
  <c r="E9" i="76"/>
  <c r="M28" i="67"/>
  <c r="AO12" i="1"/>
  <c r="F13" i="67"/>
  <c r="AO13" i="1"/>
  <c r="F36" i="67"/>
  <c r="M6" i="67"/>
  <c r="J15" i="67"/>
  <c r="M24" i="67"/>
  <c r="L47" i="67"/>
  <c r="AO9" i="1"/>
  <c r="D2" i="35"/>
  <c r="E8" i="76"/>
  <c r="AO11" i="1"/>
  <c r="F42" i="67"/>
  <c r="F9" i="67"/>
  <c r="B11" i="76"/>
  <c r="F35" i="67"/>
  <c r="M9" i="67"/>
  <c r="F40" i="67"/>
  <c r="F16" i="67"/>
  <c r="E13" i="76"/>
  <c r="B9" i="76"/>
  <c r="E7" i="76"/>
  <c r="B10" i="76"/>
  <c r="AO6" i="1"/>
  <c r="D2" i="36"/>
  <c r="F26" i="67"/>
  <c r="B7" i="76"/>
  <c r="F7" i="67"/>
  <c r="C76" i="67"/>
  <c r="F20" i="31"/>
  <c r="M27" i="67"/>
  <c r="D2" i="21"/>
  <c r="B8" i="76"/>
  <c r="D2" i="33"/>
  <c r="M26" i="67"/>
  <c r="M22" i="67"/>
  <c r="F41" i="67"/>
  <c r="AO10" i="1"/>
  <c r="L48" i="67"/>
  <c r="M23" i="67"/>
  <c r="E12" i="76"/>
  <c r="E2" i="68"/>
  <c r="M21" i="67"/>
  <c r="D2" i="37"/>
  <c r="F38" i="67"/>
  <c r="E11" i="76"/>
  <c r="M8" i="67"/>
  <c r="B12" i="76"/>
  <c r="B13" i="76"/>
  <c r="F6" i="67"/>
  <c r="D2" i="34"/>
  <c r="E10" i="76"/>
  <c r="E2" i="69"/>
  <c r="M29" i="67"/>
  <c r="F43" i="67"/>
  <c r="F37" i="67"/>
  <c r="F8" i="67"/>
  <c r="W12" i="35" l="1"/>
  <c r="AC12" i="35"/>
  <c r="H124" i="39"/>
  <c r="I124" i="39" s="1"/>
  <c r="J124" i="39" s="1"/>
  <c r="K124" i="39" s="1"/>
  <c r="L124" i="39" s="1"/>
  <c r="M124" i="39" s="1"/>
  <c r="F41" i="39"/>
  <c r="H41" i="39"/>
  <c r="J41" i="39"/>
  <c r="H37" i="21"/>
  <c r="F37" i="21"/>
  <c r="J37" i="21"/>
  <c r="H113" i="21"/>
  <c r="AC9" i="36"/>
  <c r="W9" i="36"/>
  <c r="AB23" i="36"/>
  <c r="U23" i="36"/>
  <c r="AC26" i="37"/>
  <c r="W26" i="37"/>
  <c r="AB40" i="40"/>
  <c r="U40" i="40"/>
  <c r="AR10" i="1"/>
  <c r="H103" i="43"/>
  <c r="S43" i="34"/>
  <c r="S32" i="37"/>
  <c r="S27" i="36"/>
  <c r="AA27" i="40"/>
  <c r="AB27" i="40"/>
  <c r="F28" i="78"/>
  <c r="F32" i="78"/>
  <c r="F60" i="78" s="1"/>
  <c r="M18" i="78"/>
  <c r="AA39" i="34"/>
  <c r="U12" i="37"/>
  <c r="F108" i="21"/>
  <c r="G108" i="21" s="1"/>
  <c r="H108" i="21" s="1"/>
  <c r="I108" i="21" s="1"/>
  <c r="J108" i="21" s="1"/>
  <c r="K108" i="21" s="1"/>
  <c r="L108" i="21" s="1"/>
  <c r="M108" i="21" s="1"/>
  <c r="F35" i="21"/>
  <c r="F40" i="21"/>
  <c r="AA40" i="21" s="1"/>
  <c r="J40" i="21"/>
  <c r="B70" i="43"/>
  <c r="C15" i="39"/>
  <c r="B77" i="43"/>
  <c r="C25" i="39"/>
  <c r="AC8" i="34"/>
  <c r="W8" i="34"/>
  <c r="J9" i="34"/>
  <c r="H9" i="34"/>
  <c r="AC28" i="35"/>
  <c r="W28" i="35"/>
  <c r="J34" i="35"/>
  <c r="H34" i="35"/>
  <c r="F34" i="35"/>
  <c r="AA8" i="36"/>
  <c r="S8" i="36"/>
  <c r="AB9" i="36"/>
  <c r="U9" i="36"/>
  <c r="U12" i="36"/>
  <c r="AB12" i="36"/>
  <c r="H34" i="36"/>
  <c r="F34" i="36"/>
  <c r="E91" i="39"/>
  <c r="H17" i="39"/>
  <c r="W9" i="40"/>
  <c r="AC9" i="40"/>
  <c r="AA34" i="40"/>
  <c r="S34" i="40"/>
  <c r="AA40" i="40"/>
  <c r="S40" i="40"/>
  <c r="W40" i="40"/>
  <c r="AC40" i="40"/>
  <c r="AA31" i="35"/>
  <c r="S31" i="35"/>
  <c r="D125" i="9"/>
  <c r="D11" i="52" s="1"/>
  <c r="D16" i="53"/>
  <c r="W29" i="33"/>
  <c r="S45" i="33"/>
  <c r="AC30" i="34"/>
  <c r="W11" i="35"/>
  <c r="S11" i="36"/>
  <c r="AB26" i="33"/>
  <c r="AB11" i="36"/>
  <c r="AA14" i="33"/>
  <c r="AA44" i="33"/>
  <c r="AB17" i="34"/>
  <c r="J27" i="39"/>
  <c r="AC27" i="39" s="1"/>
  <c r="J33" i="36"/>
  <c r="W8" i="36"/>
  <c r="E115" i="21"/>
  <c r="F115" i="21" s="1"/>
  <c r="G115" i="21" s="1"/>
  <c r="H115" i="21" s="1"/>
  <c r="I115" i="21" s="1"/>
  <c r="J115" i="21" s="1"/>
  <c r="K115" i="21" s="1"/>
  <c r="L115" i="21" s="1"/>
  <c r="M115" i="21" s="1"/>
  <c r="H38" i="21"/>
  <c r="F38" i="21"/>
  <c r="E117" i="21"/>
  <c r="F117" i="21" s="1"/>
  <c r="G117" i="21" s="1"/>
  <c r="F39" i="21"/>
  <c r="H39" i="21"/>
  <c r="B71" i="43"/>
  <c r="C21" i="39"/>
  <c r="F9" i="34"/>
  <c r="S12" i="34"/>
  <c r="J12" i="34"/>
  <c r="F12" i="35"/>
  <c r="H36" i="35"/>
  <c r="J36" i="35"/>
  <c r="F9" i="36"/>
  <c r="AA10" i="36"/>
  <c r="S10" i="36"/>
  <c r="W16" i="36"/>
  <c r="AC16" i="36"/>
  <c r="AC25" i="37"/>
  <c r="W25" i="37"/>
  <c r="F26" i="37"/>
  <c r="AC31" i="37"/>
  <c r="W31" i="37"/>
  <c r="AB14" i="37"/>
  <c r="U14" i="37"/>
  <c r="F27" i="39"/>
  <c r="AC8" i="40"/>
  <c r="W8" i="40"/>
  <c r="AB34" i="40"/>
  <c r="U34" i="40"/>
  <c r="F34" i="78"/>
  <c r="F62" i="78" s="1"/>
  <c r="M20" i="78"/>
  <c r="G12" i="1"/>
  <c r="G10" i="1"/>
  <c r="C21" i="69"/>
  <c r="C40" i="69"/>
  <c r="O48" i="71"/>
  <c r="O47" i="71"/>
  <c r="S50" i="71"/>
  <c r="B49" i="71"/>
  <c r="T54" i="71"/>
  <c r="C53" i="71"/>
  <c r="T62" i="71"/>
  <c r="C61" i="71"/>
  <c r="M20" i="15"/>
  <c r="K13" i="1"/>
  <c r="G1" i="78"/>
  <c r="G1" i="15"/>
  <c r="G11" i="1"/>
  <c r="AC18" i="35"/>
  <c r="U18" i="36"/>
  <c r="AA18" i="36"/>
  <c r="S18" i="36"/>
  <c r="D46" i="71"/>
  <c r="D38" i="71"/>
  <c r="C68" i="71"/>
  <c r="D68" i="71" s="1"/>
  <c r="D45" i="71"/>
  <c r="D62" i="71"/>
  <c r="N50" i="71"/>
  <c r="C33" i="71"/>
  <c r="F48" i="71"/>
  <c r="Q49" i="71"/>
  <c r="D66" i="71"/>
  <c r="C65" i="71"/>
  <c r="BL377" i="3"/>
  <c r="AZ377" i="3" s="1"/>
  <c r="BA376" i="3"/>
  <c r="AZ376" i="3" s="1"/>
  <c r="BL373" i="3"/>
  <c r="AZ373" i="3" s="1"/>
  <c r="BA372" i="3"/>
  <c r="AZ372" i="3" s="1"/>
  <c r="BL369" i="3"/>
  <c r="AZ369" i="3" s="1"/>
  <c r="AH10" i="43"/>
  <c r="AD10" i="43"/>
  <c r="Z10" i="43"/>
  <c r="AG10" i="43"/>
  <c r="AC10" i="43"/>
  <c r="P74" i="67"/>
  <c r="BA378" i="3"/>
  <c r="AZ378" i="3" s="1"/>
  <c r="BL375" i="3"/>
  <c r="AZ375" i="3" s="1"/>
  <c r="BA374" i="3"/>
  <c r="AZ374" i="3" s="1"/>
  <c r="BL371" i="3"/>
  <c r="AZ371" i="3" s="1"/>
  <c r="BA370" i="3"/>
  <c r="AZ370"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56" i="3"/>
  <c r="AZ156" i="3"/>
  <c r="BA155" i="3"/>
  <c r="AZ155" i="3" s="1"/>
  <c r="BL148" i="3"/>
  <c r="AZ148" i="3" s="1"/>
  <c r="BA147" i="3"/>
  <c r="AZ147" i="3" s="1"/>
  <c r="BL140" i="3"/>
  <c r="AZ140" i="3"/>
  <c r="BA139" i="3"/>
  <c r="AZ139" i="3" s="1"/>
  <c r="BL132" i="3"/>
  <c r="AZ132" i="3" s="1"/>
  <c r="BA131" i="3"/>
  <c r="AZ131" i="3" s="1"/>
  <c r="BL124" i="3"/>
  <c r="AZ124" i="3"/>
  <c r="BA123" i="3"/>
  <c r="AZ123" i="3" s="1"/>
  <c r="BL116" i="3"/>
  <c r="AZ116" i="3" s="1"/>
  <c r="BA115" i="3"/>
  <c r="AZ115" i="3" s="1"/>
  <c r="BL108" i="3"/>
  <c r="AZ108" i="3"/>
  <c r="BA107" i="3"/>
  <c r="AZ107" i="3" s="1"/>
  <c r="BL100" i="3"/>
  <c r="AZ100" i="3" s="1"/>
  <c r="BA99" i="3"/>
  <c r="AZ99" i="3" s="1"/>
  <c r="BL92" i="3"/>
  <c r="AZ92" i="3"/>
  <c r="BA91" i="3"/>
  <c r="AZ91" i="3" s="1"/>
  <c r="BL84" i="3"/>
  <c r="AZ84" i="3" s="1"/>
  <c r="BA83" i="3"/>
  <c r="AZ83" i="3" s="1"/>
  <c r="BL76" i="3"/>
  <c r="AZ76" i="3"/>
  <c r="BA75" i="3"/>
  <c r="AZ75" i="3" s="1"/>
  <c r="BL68" i="3"/>
  <c r="AZ68" i="3" s="1"/>
  <c r="BA67" i="3"/>
  <c r="AZ67" i="3" s="1"/>
  <c r="BL58" i="3"/>
  <c r="AZ58" i="3"/>
  <c r="BA57" i="3"/>
  <c r="AZ57" i="3" s="1"/>
  <c r="D100" i="43"/>
  <c r="D108" i="43"/>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L160" i="3"/>
  <c r="AZ160" i="3"/>
  <c r="BA159" i="3"/>
  <c r="AZ159" i="3" s="1"/>
  <c r="BL152" i="3"/>
  <c r="AZ152" i="3" s="1"/>
  <c r="BA151" i="3"/>
  <c r="AZ151" i="3" s="1"/>
  <c r="BL144" i="3"/>
  <c r="AZ144" i="3"/>
  <c r="BA143" i="3"/>
  <c r="AZ143" i="3" s="1"/>
  <c r="BL136" i="3"/>
  <c r="AZ136" i="3" s="1"/>
  <c r="BA135" i="3"/>
  <c r="AZ135" i="3" s="1"/>
  <c r="BL128" i="3"/>
  <c r="AZ128" i="3"/>
  <c r="BA127" i="3"/>
  <c r="AZ127" i="3" s="1"/>
  <c r="BL120" i="3"/>
  <c r="AZ120" i="3" s="1"/>
  <c r="BA119" i="3"/>
  <c r="AZ119" i="3" s="1"/>
  <c r="BL112" i="3"/>
  <c r="AZ112" i="3"/>
  <c r="BA111" i="3"/>
  <c r="AZ111" i="3" s="1"/>
  <c r="BL104" i="3"/>
  <c r="AZ104" i="3" s="1"/>
  <c r="BA103" i="3"/>
  <c r="AZ103" i="3" s="1"/>
  <c r="BL96" i="3"/>
  <c r="AZ96" i="3"/>
  <c r="BA95" i="3"/>
  <c r="AZ95" i="3" s="1"/>
  <c r="BL88" i="3"/>
  <c r="AZ88" i="3" s="1"/>
  <c r="BA87" i="3"/>
  <c r="AZ87" i="3" s="1"/>
  <c r="BL80" i="3"/>
  <c r="AZ80" i="3"/>
  <c r="BA79" i="3"/>
  <c r="AZ79" i="3" s="1"/>
  <c r="BL72" i="3"/>
  <c r="AZ72" i="3" s="1"/>
  <c r="BA71" i="3"/>
  <c r="AZ71" i="3" s="1"/>
  <c r="BL64" i="3"/>
  <c r="AZ64" i="3"/>
  <c r="BA63" i="3"/>
  <c r="AZ63" i="3" s="1"/>
  <c r="BL50" i="3"/>
  <c r="AZ50" i="3" s="1"/>
  <c r="BA49" i="3"/>
  <c r="AZ49"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4" i="3"/>
  <c r="AZ54" i="3" s="1"/>
  <c r="BA53" i="3"/>
  <c r="AZ53" i="3" s="1"/>
  <c r="BL46" i="3"/>
  <c r="AZ46" i="3"/>
  <c r="BA45" i="3"/>
  <c r="AZ45" i="3" s="1"/>
  <c r="BK5" i="3"/>
  <c r="BI5" i="3"/>
  <c r="BG5" i="3"/>
  <c r="BE5" i="3"/>
  <c r="BL60" i="3"/>
  <c r="AZ60" i="3" s="1"/>
  <c r="BA59" i="3"/>
  <c r="AZ59" i="3" s="1"/>
  <c r="BL56" i="3"/>
  <c r="AZ56" i="3" s="1"/>
  <c r="BA55" i="3"/>
  <c r="AZ55" i="3" s="1"/>
  <c r="BL52" i="3"/>
  <c r="AZ52" i="3" s="1"/>
  <c r="BA51" i="3"/>
  <c r="AZ51" i="3" s="1"/>
  <c r="BL48" i="3"/>
  <c r="AZ48" i="3" s="1"/>
  <c r="BA47" i="3"/>
  <c r="AZ47" i="3" s="1"/>
  <c r="BL44" i="3"/>
  <c r="AZ44" i="3" s="1"/>
  <c r="BC5" i="3"/>
  <c r="BA43" i="3"/>
  <c r="AZ43" i="3" s="1"/>
  <c r="BQ5" i="3"/>
  <c r="F28" i="6" s="1"/>
  <c r="BO5" i="3"/>
  <c r="BA39" i="3"/>
  <c r="BS5" i="3"/>
  <c r="BL13" i="3"/>
  <c r="BJ5" i="3"/>
  <c r="BH5" i="3"/>
  <c r="BF5" i="3"/>
  <c r="BD5" i="3"/>
  <c r="C108" i="43"/>
  <c r="C20" i="43"/>
  <c r="C21" i="71"/>
  <c r="C17" i="71"/>
  <c r="C13" i="71"/>
  <c r="C9" i="71"/>
  <c r="E9" i="43"/>
  <c r="E11" i="43"/>
  <c r="G5" i="3"/>
  <c r="B3"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AZ14" i="3" s="1"/>
  <c r="B8" i="71"/>
  <c r="E8" i="43"/>
  <c r="C5" i="43"/>
  <c r="BM5" i="3"/>
  <c r="F29" i="6" s="1"/>
  <c r="E29" i="6" s="1"/>
  <c r="K15" i="1" s="1"/>
  <c r="BA41" i="3"/>
  <c r="AZ41" i="3" s="1"/>
  <c r="BL39" i="3"/>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B5" i="3"/>
  <c r="S40" i="21"/>
  <c r="U33" i="21"/>
  <c r="AA33" i="21"/>
  <c r="S38" i="39"/>
  <c r="W32" i="39"/>
  <c r="W9" i="39"/>
  <c r="U9" i="39"/>
  <c r="A15" i="62"/>
  <c r="B61" i="72" s="1"/>
  <c r="D19" i="53"/>
  <c r="I14" i="74"/>
  <c r="B8" i="74" s="1"/>
  <c r="D127" i="9"/>
  <c r="D13" i="52" s="1"/>
  <c r="D12" i="52"/>
  <c r="AB15" i="39"/>
  <c r="AC15" i="39"/>
  <c r="F15" i="39"/>
  <c r="C18" i="9"/>
  <c r="D18" i="9" s="1"/>
  <c r="L104" i="43"/>
  <c r="L107" i="43"/>
  <c r="L105" i="43"/>
  <c r="L103" i="43"/>
  <c r="L102" i="43"/>
  <c r="E8" i="6"/>
  <c r="E12" i="6"/>
  <c r="E11" i="6"/>
  <c r="E5" i="6"/>
  <c r="D9" i="69" s="1"/>
  <c r="C9" i="69" s="1"/>
  <c r="E15" i="6"/>
  <c r="E13" i="6"/>
  <c r="E10" i="6"/>
  <c r="E14" i="6"/>
  <c r="BA13" i="3"/>
  <c r="H109" i="43"/>
  <c r="AR11" i="1"/>
  <c r="T12" i="1"/>
  <c r="H105" i="43"/>
  <c r="O11" i="1"/>
  <c r="P11" i="1" s="1"/>
  <c r="H107" i="43"/>
  <c r="H106" i="43"/>
  <c r="D9" i="68"/>
  <c r="C9" i="68" s="1"/>
  <c r="AZ13" i="3"/>
  <c r="BA5" i="3"/>
  <c r="O12" i="1"/>
  <c r="P12" i="1" s="1"/>
  <c r="O9" i="1"/>
  <c r="P9" i="1" s="1"/>
  <c r="C101" i="43"/>
  <c r="E22" i="43"/>
  <c r="F22" i="43"/>
  <c r="D101" i="43"/>
  <c r="B113" i="43"/>
  <c r="G22" i="43"/>
  <c r="H22" i="43"/>
  <c r="K101" i="43"/>
  <c r="F101" i="43"/>
  <c r="N101" i="43"/>
  <c r="G101" i="43"/>
  <c r="J101" i="43"/>
  <c r="N104" i="46"/>
  <c r="M101" i="43"/>
  <c r="I101" i="43"/>
  <c r="E101" i="43"/>
  <c r="AT6" i="3"/>
  <c r="AY3" i="3"/>
  <c r="AY6" i="3" s="1"/>
  <c r="F50" i="11"/>
  <c r="W27" i="39"/>
  <c r="G16" i="1"/>
  <c r="F10" i="40" s="1"/>
  <c r="AA10" i="40" s="1"/>
  <c r="C65" i="40"/>
  <c r="D63" i="40"/>
  <c r="C7" i="21"/>
  <c r="C58" i="21" s="1"/>
  <c r="D58" i="21" s="1"/>
  <c r="E58" i="21" s="1"/>
  <c r="F58" i="21" s="1"/>
  <c r="G58" i="21" s="1"/>
  <c r="H58" i="21" s="1"/>
  <c r="I58" i="21" s="1"/>
  <c r="J58" i="21" s="1"/>
  <c r="K58" i="21" s="1"/>
  <c r="L58" i="21" s="1"/>
  <c r="M58" i="21" s="1"/>
  <c r="N58" i="21" s="1"/>
  <c r="O58" i="21" s="1"/>
  <c r="C7" i="33"/>
  <c r="C58" i="33" s="1"/>
  <c r="D58" i="33" s="1"/>
  <c r="E58" i="33" s="1"/>
  <c r="C7" i="39"/>
  <c r="C68" i="39" s="1"/>
  <c r="C70" i="39" s="1"/>
  <c r="C42" i="1"/>
  <c r="C77" i="9" s="1"/>
  <c r="C7" i="34"/>
  <c r="C59" i="34" s="1"/>
  <c r="D59" i="34" s="1"/>
  <c r="E59" i="34" s="1"/>
  <c r="F59" i="34" s="1"/>
  <c r="G59" i="34" s="1"/>
  <c r="H59" i="34" s="1"/>
  <c r="I59" i="34" s="1"/>
  <c r="J59" i="34" s="1"/>
  <c r="K59" i="34" s="1"/>
  <c r="L59" i="34" s="1"/>
  <c r="M59" i="34" s="1"/>
  <c r="N59" i="34" s="1"/>
  <c r="O59" i="34" s="1"/>
  <c r="G19" i="43"/>
  <c r="P22" i="43" s="1"/>
  <c r="J51" i="15"/>
  <c r="E46" i="36"/>
  <c r="F46" i="36" s="1"/>
  <c r="G46" i="36" s="1"/>
  <c r="H46" i="36" s="1"/>
  <c r="I46" i="36" s="1"/>
  <c r="J46" i="36" s="1"/>
  <c r="K46" i="36" s="1"/>
  <c r="L46" i="36" s="1"/>
  <c r="M46" i="36" s="1"/>
  <c r="N46" i="36" s="1"/>
  <c r="O46" i="36" s="1"/>
  <c r="C48" i="69"/>
  <c r="C24" i="12"/>
  <c r="L1" i="73"/>
  <c r="J1" i="73"/>
  <c r="O19" i="43"/>
  <c r="P23" i="43"/>
  <c r="B71" i="39" s="1"/>
  <c r="H7" i="36"/>
  <c r="D52" i="37"/>
  <c r="E52" i="37" s="1"/>
  <c r="F52" i="37" s="1"/>
  <c r="G52" i="37" s="1"/>
  <c r="H52" i="37" s="1"/>
  <c r="I52" i="37" s="1"/>
  <c r="J52" i="37" s="1"/>
  <c r="K52" i="37" s="1"/>
  <c r="L52" i="37" s="1"/>
  <c r="M52" i="37" s="1"/>
  <c r="N52" i="37" s="1"/>
  <c r="O52" i="37" s="1"/>
  <c r="D48" i="35"/>
  <c r="F32" i="21"/>
  <c r="H32" i="21"/>
  <c r="AC32" i="21"/>
  <c r="F50" i="68"/>
  <c r="F42" i="21"/>
  <c r="G123" i="21"/>
  <c r="H123" i="21" s="1"/>
  <c r="I123" i="21" s="1"/>
  <c r="J123" i="21" s="1"/>
  <c r="K123" i="21" s="1"/>
  <c r="L123" i="21" s="1"/>
  <c r="M123" i="21" s="1"/>
  <c r="H42" i="21"/>
  <c r="U42" i="21" s="1"/>
  <c r="J42" i="21"/>
  <c r="AC42" i="21" s="1"/>
  <c r="E11" i="49"/>
  <c r="E5" i="49"/>
  <c r="B22" i="49"/>
  <c r="W42" i="21"/>
  <c r="AB42" i="21"/>
  <c r="P7" i="1"/>
  <c r="B9" i="49"/>
  <c r="B5" i="49"/>
  <c r="E8" i="49"/>
  <c r="B14" i="49"/>
  <c r="B8" i="49"/>
  <c r="B4" i="49"/>
  <c r="E10" i="49"/>
  <c r="E16" i="49"/>
  <c r="E22" i="49"/>
  <c r="B6" i="70"/>
  <c r="F69" i="67"/>
  <c r="J20" i="67"/>
  <c r="F70" i="67"/>
  <c r="F68" i="67"/>
  <c r="L58" i="67"/>
  <c r="L59" i="67"/>
  <c r="M59" i="67"/>
  <c r="N59" i="67"/>
  <c r="J57" i="67"/>
  <c r="J55" i="67" s="1"/>
  <c r="J58" i="67" s="1"/>
  <c r="Q50" i="67" s="1"/>
  <c r="I54" i="67"/>
  <c r="L56" i="67"/>
  <c r="Q71" i="67"/>
  <c r="B10" i="70"/>
  <c r="B20" i="31"/>
  <c r="F66" i="67"/>
  <c r="F71" i="67"/>
  <c r="M7" i="67"/>
  <c r="J6" i="67" s="1"/>
  <c r="F50" i="67"/>
  <c r="C6" i="67"/>
  <c r="B11" i="70"/>
  <c r="F63" i="67"/>
  <c r="C62" i="67" s="1"/>
  <c r="C34" i="67"/>
  <c r="F64" i="67"/>
  <c r="F65" i="67"/>
  <c r="C27" i="67"/>
  <c r="F51" i="67"/>
  <c r="B12" i="70"/>
  <c r="B13" i="70"/>
  <c r="B9" i="70"/>
  <c r="B23" i="49"/>
  <c r="B10" i="49"/>
  <c r="B16" i="49"/>
  <c r="E7" i="49"/>
  <c r="E6" i="49"/>
  <c r="B13" i="49"/>
  <c r="B11" i="49"/>
  <c r="E4" i="4" s="1"/>
  <c r="B5" i="62" s="1"/>
  <c r="B73" i="72" s="1"/>
  <c r="E21" i="49"/>
  <c r="E9" i="49"/>
  <c r="B6" i="49"/>
  <c r="E4" i="49"/>
  <c r="F4" i="73"/>
  <c r="C16" i="67"/>
  <c r="F6" i="73"/>
  <c r="C17" i="67"/>
  <c r="D3" i="73"/>
  <c r="F7" i="73"/>
  <c r="C14" i="67"/>
  <c r="D7" i="73"/>
  <c r="F3" i="73"/>
  <c r="D4" i="73"/>
  <c r="F5" i="73"/>
  <c r="D5" i="73"/>
  <c r="G1" i="73" s="1"/>
  <c r="D6" i="73"/>
  <c r="K4" i="4" l="1"/>
  <c r="B46" i="48" s="1"/>
  <c r="B4" i="72" s="1"/>
  <c r="C7" i="43"/>
  <c r="G39" i="43"/>
  <c r="I39" i="43" s="1"/>
  <c r="C8" i="71"/>
  <c r="D8" i="71" s="1"/>
  <c r="D9" i="71"/>
  <c r="D17" i="71"/>
  <c r="C18" i="71"/>
  <c r="D65" i="71"/>
  <c r="C64" i="71"/>
  <c r="D64" i="71" s="1"/>
  <c r="D33" i="71"/>
  <c r="C34" i="71"/>
  <c r="M13" i="1"/>
  <c r="H16" i="1"/>
  <c r="AA26" i="37"/>
  <c r="S26" i="37"/>
  <c r="W36" i="35"/>
  <c r="AC36" i="35"/>
  <c r="S12" i="35"/>
  <c r="AA12" i="35"/>
  <c r="U39" i="21"/>
  <c r="AB39" i="21"/>
  <c r="U38" i="21"/>
  <c r="AB38" i="21"/>
  <c r="D17" i="53"/>
  <c r="B36" i="72" s="1"/>
  <c r="B34" i="72"/>
  <c r="AB17" i="39"/>
  <c r="U17" i="39"/>
  <c r="S34" i="36"/>
  <c r="AA34" i="36"/>
  <c r="S34" i="35"/>
  <c r="AA34" i="35"/>
  <c r="W34" i="35"/>
  <c r="AC34" i="35"/>
  <c r="W9" i="34"/>
  <c r="AC9" i="34"/>
  <c r="AA37" i="21"/>
  <c r="S37" i="21"/>
  <c r="W41" i="39"/>
  <c r="AC41" i="39"/>
  <c r="S41" i="39"/>
  <c r="AA41" i="39"/>
  <c r="D68" i="39"/>
  <c r="D9" i="11"/>
  <c r="C9" i="1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46" i="3"/>
  <c r="E205" i="3"/>
  <c r="E124" i="3"/>
  <c r="E293" i="3"/>
  <c r="E128" i="3"/>
  <c r="E270" i="3"/>
  <c r="E390" i="3"/>
  <c r="E533" i="3"/>
  <c r="S6" i="3"/>
  <c r="AR6" i="3"/>
  <c r="E570" i="3"/>
  <c r="E551" i="3"/>
  <c r="M6" i="3"/>
  <c r="E506" i="3"/>
  <c r="AB6" i="3"/>
  <c r="E418" i="3"/>
  <c r="E439" i="3"/>
  <c r="E338" i="3"/>
  <c r="E380" i="3"/>
  <c r="E321" i="3"/>
  <c r="E231" i="3"/>
  <c r="E298" i="3"/>
  <c r="E216" i="3"/>
  <c r="E169" i="3"/>
  <c r="E185" i="3"/>
  <c r="E61" i="3"/>
  <c r="E135" i="3"/>
  <c r="E290" i="3"/>
  <c r="E161" i="3"/>
  <c r="E117" i="3"/>
  <c r="E120" i="3"/>
  <c r="E45" i="3"/>
  <c r="E223" i="3"/>
  <c r="E238" i="3"/>
  <c r="E197" i="3"/>
  <c r="E116" i="3"/>
  <c r="E193" i="3"/>
  <c r="E133" i="3"/>
  <c r="E313" i="3"/>
  <c r="E330" i="3"/>
  <c r="E519" i="3"/>
  <c r="K6" i="3"/>
  <c r="E532" i="3"/>
  <c r="E564" i="3"/>
  <c r="T6" i="3"/>
  <c r="E543" i="3"/>
  <c r="E405" i="3"/>
  <c r="E437" i="3"/>
  <c r="E456" i="3"/>
  <c r="E486" i="3"/>
  <c r="E469" i="3"/>
  <c r="E507" i="3"/>
  <c r="E527" i="3"/>
  <c r="E406" i="3"/>
  <c r="E438" i="3"/>
  <c r="E424" i="3"/>
  <c r="E457" i="3"/>
  <c r="E465" i="3"/>
  <c r="E288" i="3"/>
  <c r="E344" i="3"/>
  <c r="E376" i="3"/>
  <c r="E587" i="3"/>
  <c r="E497" i="3"/>
  <c r="E571" i="3"/>
  <c r="E577" i="3"/>
  <c r="E537" i="3"/>
  <c r="E429" i="3"/>
  <c r="E419" i="3"/>
  <c r="E452" i="3"/>
  <c r="E471" i="3"/>
  <c r="E496" i="3"/>
  <c r="E401" i="3"/>
  <c r="E420" i="3"/>
  <c r="E475" i="3"/>
  <c r="E26" i="3"/>
  <c r="E72" i="3"/>
  <c r="E106" i="3"/>
  <c r="E54" i="3"/>
  <c r="E73" i="3"/>
  <c r="E111" i="3"/>
  <c r="E146" i="3"/>
  <c r="E168" i="3"/>
  <c r="E203" i="3"/>
  <c r="E150" i="3"/>
  <c r="E171" i="3"/>
  <c r="E208" i="3"/>
  <c r="E256" i="3"/>
  <c r="E279" i="3"/>
  <c r="E214" i="3"/>
  <c r="E257" i="3"/>
  <c r="E243" i="3"/>
  <c r="E351" i="3"/>
  <c r="E332" i="3"/>
  <c r="E346" i="3"/>
  <c r="E391" i="3"/>
  <c r="E333" i="3"/>
  <c r="E356" i="3"/>
  <c r="E372" i="3"/>
  <c r="AL6" i="3"/>
  <c r="L6" i="3"/>
  <c r="E31" i="3"/>
  <c r="E74" i="3"/>
  <c r="E93" i="3"/>
  <c r="E32" i="3"/>
  <c r="E75" i="3"/>
  <c r="E409" i="3"/>
  <c r="E473" i="3"/>
  <c r="E15" i="3"/>
  <c r="E455" i="3"/>
  <c r="E18" i="3"/>
  <c r="E38" i="3"/>
  <c r="E78" i="3"/>
  <c r="E170" i="3"/>
  <c r="E137" i="3"/>
  <c r="E174" i="3"/>
  <c r="E220" i="3"/>
  <c r="E275" i="3"/>
  <c r="E235" i="3"/>
  <c r="E324" i="3"/>
  <c r="E383" i="3"/>
  <c r="E342" i="3"/>
  <c r="AQ6" i="3"/>
  <c r="E35" i="3"/>
  <c r="E86" i="3"/>
  <c r="E34" i="3"/>
  <c r="E49" i="3"/>
  <c r="E147" i="3"/>
  <c r="E289" i="3"/>
  <c r="E340" i="3"/>
  <c r="E364" i="3"/>
  <c r="E50" i="3"/>
  <c r="E80" i="3"/>
  <c r="E113" i="3"/>
  <c r="E176" i="3"/>
  <c r="E158" i="3"/>
  <c r="E287" i="3"/>
  <c r="E308" i="3"/>
  <c r="E326" i="3"/>
  <c r="E22" i="3"/>
  <c r="E83" i="3"/>
  <c r="E227" i="3"/>
  <c r="E165" i="3"/>
  <c r="E311" i="3"/>
  <c r="E358" i="3"/>
  <c r="E514" i="3"/>
  <c r="E559" i="3"/>
  <c r="E523" i="3"/>
  <c r="E561" i="3"/>
  <c r="V6" i="3"/>
  <c r="E538" i="3"/>
  <c r="E407" i="3"/>
  <c r="E387" i="3"/>
  <c r="E320" i="3"/>
  <c r="E335" i="3"/>
  <c r="E294" i="3"/>
  <c r="E215" i="3"/>
  <c r="E230" i="3"/>
  <c r="E189" i="3"/>
  <c r="E130" i="3"/>
  <c r="E134" i="3"/>
  <c r="E254" i="3"/>
  <c r="E91" i="3"/>
  <c r="E221" i="3"/>
  <c r="E180" i="3"/>
  <c r="E140" i="3"/>
  <c r="E85" i="3"/>
  <c r="E277" i="3"/>
  <c r="E224" i="3"/>
  <c r="E177" i="3"/>
  <c r="E173" i="3"/>
  <c r="E105" i="3"/>
  <c r="E369" i="3"/>
  <c r="E393" i="3"/>
  <c r="E525" i="3"/>
  <c r="E493" i="3"/>
  <c r="E534" i="3"/>
  <c r="Q6" i="3"/>
  <c r="E573" i="3"/>
  <c r="E560" i="3"/>
  <c r="E529" i="3"/>
  <c r="E427" i="3"/>
  <c r="E458" i="3"/>
  <c r="E472" i="3"/>
  <c r="E474" i="3"/>
  <c r="E481" i="3"/>
  <c r="E512" i="3"/>
  <c r="E422" i="3"/>
  <c r="E408" i="3"/>
  <c r="E440" i="3"/>
  <c r="E451" i="3"/>
  <c r="E490" i="3"/>
  <c r="E360" i="3"/>
  <c r="E562" i="3"/>
  <c r="E556" i="3"/>
  <c r="AH6" i="3"/>
  <c r="W6" i="3"/>
  <c r="AE6" i="3"/>
  <c r="J6" i="3"/>
  <c r="E13" i="3"/>
  <c r="E498" i="3"/>
  <c r="E494" i="3"/>
  <c r="E450" i="3"/>
  <c r="E468" i="3"/>
  <c r="E483" i="3"/>
  <c r="E470" i="3"/>
  <c r="E433" i="3"/>
  <c r="E454" i="3"/>
  <c r="E463" i="3"/>
  <c r="E55" i="3"/>
  <c r="E40" i="3"/>
  <c r="E104" i="3"/>
  <c r="E25" i="3"/>
  <c r="E41" i="3"/>
  <c r="E108" i="3"/>
  <c r="E115" i="3"/>
  <c r="E178" i="3"/>
  <c r="E198" i="3"/>
  <c r="E119" i="3"/>
  <c r="E139" i="3"/>
  <c r="E202" i="3"/>
  <c r="E225" i="3"/>
  <c r="E242" i="3"/>
  <c r="E281" i="3"/>
  <c r="E226" i="3"/>
  <c r="E274" i="3"/>
  <c r="E276" i="3"/>
  <c r="E315" i="3"/>
  <c r="E357" i="3"/>
  <c r="E394" i="3"/>
  <c r="E318" i="3"/>
  <c r="E362" i="3"/>
  <c r="E14" i="3"/>
  <c r="E580" i="3"/>
  <c r="E42" i="3"/>
  <c r="E60" i="3"/>
  <c r="E94" i="3"/>
  <c r="E43" i="3"/>
  <c r="E488" i="3"/>
  <c r="E428" i="3"/>
  <c r="E482" i="3"/>
  <c r="E412" i="3"/>
  <c r="E79" i="3"/>
  <c r="E96" i="3"/>
  <c r="E100" i="3"/>
  <c r="E129" i="3"/>
  <c r="E190" i="3"/>
  <c r="E194" i="3"/>
  <c r="E234" i="3"/>
  <c r="E219" i="3"/>
  <c r="E299" i="3"/>
  <c r="E339" i="3"/>
  <c r="E325" i="3"/>
  <c r="E392" i="3"/>
  <c r="E522" i="3"/>
  <c r="E52" i="3"/>
  <c r="E36" i="3"/>
  <c r="E112" i="3"/>
  <c r="E123" i="3"/>
  <c r="E206" i="3"/>
  <c r="E232" i="3"/>
  <c r="E251" i="3"/>
  <c r="E370" i="3"/>
  <c r="AF6" i="3"/>
  <c r="AC6" i="3" s="1"/>
  <c r="E102" i="3"/>
  <c r="E20" i="3"/>
  <c r="E62" i="3"/>
  <c r="E218" i="3"/>
  <c r="E265" i="3"/>
  <c r="E365" i="3"/>
  <c r="E524" i="3"/>
  <c r="E101" i="3"/>
  <c r="D13" i="71"/>
  <c r="C14" i="71"/>
  <c r="D21" i="71"/>
  <c r="C22" i="71"/>
  <c r="BL5" i="3"/>
  <c r="AZ39" i="3"/>
  <c r="AZ5" i="3" s="1"/>
  <c r="F30" i="6"/>
  <c r="E28" i="6"/>
  <c r="Q47" i="71"/>
  <c r="Q48" i="71"/>
  <c r="C60" i="71"/>
  <c r="D60" i="71" s="1"/>
  <c r="D61" i="71"/>
  <c r="D53" i="71"/>
  <c r="C52" i="71"/>
  <c r="D52" i="71" s="1"/>
  <c r="N49" i="71"/>
  <c r="B48" i="71"/>
  <c r="S27" i="39"/>
  <c r="AA27" i="39"/>
  <c r="AA9" i="36"/>
  <c r="S9" i="36"/>
  <c r="AB36" i="35"/>
  <c r="U36" i="35"/>
  <c r="W12" i="34"/>
  <c r="AC12" i="34"/>
  <c r="AA9" i="34"/>
  <c r="S9" i="34"/>
  <c r="AA39" i="21"/>
  <c r="S39" i="21"/>
  <c r="S38" i="21"/>
  <c r="AA38" i="21"/>
  <c r="W33" i="36"/>
  <c r="AC33" i="36"/>
  <c r="Q16" i="1"/>
  <c r="F17" i="39"/>
  <c r="J17" i="39"/>
  <c r="F91" i="39"/>
  <c r="G91" i="39" s="1"/>
  <c r="U34" i="36"/>
  <c r="AB34" i="36"/>
  <c r="AB34" i="35"/>
  <c r="U34" i="35"/>
  <c r="U9" i="34"/>
  <c r="AB9" i="34"/>
  <c r="W40" i="21"/>
  <c r="AC40" i="21"/>
  <c r="AA35" i="21"/>
  <c r="S35" i="21"/>
  <c r="L19" i="6"/>
  <c r="L27" i="6" s="1"/>
  <c r="W37" i="21"/>
  <c r="AC37" i="21"/>
  <c r="AB37" i="21"/>
  <c r="U37" i="21"/>
  <c r="AB41" i="39"/>
  <c r="U41" i="39"/>
  <c r="B38" i="72"/>
  <c r="D20" i="53"/>
  <c r="B40" i="72" s="1"/>
  <c r="H7" i="37"/>
  <c r="AA15" i="39"/>
  <c r="S15" i="39"/>
  <c r="E64" i="39"/>
  <c r="E59" i="40"/>
  <c r="E58" i="40"/>
  <c r="E63" i="39"/>
  <c r="E57" i="40"/>
  <c r="E62" i="39"/>
  <c r="H10" i="40"/>
  <c r="AB10" i="40" s="1"/>
  <c r="S10" i="40"/>
  <c r="D19" i="12"/>
  <c r="C19" i="12" s="1"/>
  <c r="E60" i="40"/>
  <c r="E65" i="39"/>
  <c r="E61" i="39"/>
  <c r="E56" i="40"/>
  <c r="F27" i="6"/>
  <c r="F31" i="6" s="1"/>
  <c r="E51" i="40"/>
  <c r="E16" i="6"/>
  <c r="E56" i="39"/>
  <c r="E66" i="39" s="1"/>
  <c r="G105" i="43"/>
  <c r="G107" i="43"/>
  <c r="G104" i="43"/>
  <c r="G106" i="43"/>
  <c r="G109" i="43"/>
  <c r="G102" i="43"/>
  <c r="G103" i="43"/>
  <c r="F104" i="43"/>
  <c r="F102" i="43"/>
  <c r="F107" i="43"/>
  <c r="F106" i="43"/>
  <c r="F103" i="43"/>
  <c r="F105" i="43"/>
  <c r="F109"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C103" i="43"/>
  <c r="C105" i="43"/>
  <c r="C107" i="43"/>
  <c r="C109" i="43"/>
  <c r="C102" i="43"/>
  <c r="C104" i="43"/>
  <c r="C106" i="43"/>
  <c r="I109" i="43"/>
  <c r="I104" i="43"/>
  <c r="I106" i="43"/>
  <c r="I107" i="43"/>
  <c r="I102" i="43"/>
  <c r="I103" i="43"/>
  <c r="I105" i="43"/>
  <c r="D3" i="6"/>
  <c r="E103" i="43"/>
  <c r="E104" i="43"/>
  <c r="E105" i="43"/>
  <c r="E106" i="43"/>
  <c r="E107" i="43"/>
  <c r="E109" i="43"/>
  <c r="E102" i="43"/>
  <c r="M104" i="43"/>
  <c r="M107" i="43"/>
  <c r="M109" i="43"/>
  <c r="M102" i="43"/>
  <c r="M103" i="43"/>
  <c r="M105" i="43"/>
  <c r="M106" i="43"/>
  <c r="J104" i="43"/>
  <c r="J105" i="43"/>
  <c r="J107" i="43"/>
  <c r="J102" i="43"/>
  <c r="J103" i="43"/>
  <c r="J106" i="43"/>
  <c r="J109" i="43"/>
  <c r="N102" i="43"/>
  <c r="N105" i="43"/>
  <c r="N106" i="43"/>
  <c r="N103" i="43"/>
  <c r="N104" i="43"/>
  <c r="N107" i="43"/>
  <c r="N109" i="43"/>
  <c r="K103" i="43"/>
  <c r="K107" i="43"/>
  <c r="K102" i="43"/>
  <c r="K105" i="43"/>
  <c r="K109" i="43"/>
  <c r="K104" i="43"/>
  <c r="K106" i="43"/>
  <c r="D103" i="43"/>
  <c r="D105" i="43"/>
  <c r="D107" i="43"/>
  <c r="D109" i="43"/>
  <c r="D102" i="43"/>
  <c r="D104" i="43"/>
  <c r="D106" i="43"/>
  <c r="D22" i="43"/>
  <c r="F7" i="36"/>
  <c r="J10" i="40"/>
  <c r="W10" i="40" s="1"/>
  <c r="P25" i="43"/>
  <c r="H7" i="34"/>
  <c r="U7" i="34" s="1"/>
  <c r="C28" i="67"/>
  <c r="C74" i="9"/>
  <c r="H10" i="39"/>
  <c r="AB10" i="39" s="1"/>
  <c r="F10" i="39"/>
  <c r="S10" i="39" s="1"/>
  <c r="J10" i="39"/>
  <c r="AC10" i="39" s="1"/>
  <c r="H7" i="21"/>
  <c r="U7" i="21" s="1"/>
  <c r="F58" i="33"/>
  <c r="G58" i="33" s="1"/>
  <c r="H58" i="33" s="1"/>
  <c r="I58" i="33" s="1"/>
  <c r="J58" i="33" s="1"/>
  <c r="K58" i="33" s="1"/>
  <c r="L58" i="33" s="1"/>
  <c r="M58" i="33" s="1"/>
  <c r="N58" i="33" s="1"/>
  <c r="O58" i="33" s="1"/>
  <c r="D65" i="40"/>
  <c r="E63" i="40"/>
  <c r="J7" i="34"/>
  <c r="P21" i="43"/>
  <c r="P24" i="43"/>
  <c r="B66" i="40" s="1"/>
  <c r="C13" i="12"/>
  <c r="F7" i="34"/>
  <c r="AA7" i="34" s="1"/>
  <c r="R49" i="34" s="1"/>
  <c r="C28" i="15"/>
  <c r="C30" i="68"/>
  <c r="C30" i="69"/>
  <c r="C48" i="68"/>
  <c r="C28" i="78"/>
  <c r="F7" i="21"/>
  <c r="AA7" i="21" s="1"/>
  <c r="J7" i="21"/>
  <c r="E20" i="43"/>
  <c r="M17" i="43" s="1"/>
  <c r="I1" i="73"/>
  <c r="B39" i="1" s="1"/>
  <c r="F11" i="15" s="1"/>
  <c r="C53" i="15" s="1"/>
  <c r="E48" i="35"/>
  <c r="F48" i="35" s="1"/>
  <c r="G48" i="35" s="1"/>
  <c r="H48" i="35" s="1"/>
  <c r="I48" i="35" s="1"/>
  <c r="J48" i="35" s="1"/>
  <c r="K48" i="35" s="1"/>
  <c r="L48" i="35" s="1"/>
  <c r="M48" i="35" s="1"/>
  <c r="N48" i="35" s="1"/>
  <c r="O48" i="35" s="1"/>
  <c r="U7" i="37"/>
  <c r="AB7" i="37"/>
  <c r="T42" i="37" s="1"/>
  <c r="G42" i="37" s="1"/>
  <c r="S7" i="36"/>
  <c r="AA7" i="36"/>
  <c r="R36" i="36" s="1"/>
  <c r="W7" i="34"/>
  <c r="AC7" i="34"/>
  <c r="V49" i="34" s="1"/>
  <c r="I49" i="34" s="1"/>
  <c r="AB7" i="34"/>
  <c r="T49" i="34" s="1"/>
  <c r="G49" i="34" s="1"/>
  <c r="U10" i="39"/>
  <c r="AA10" i="39"/>
  <c r="J7" i="36"/>
  <c r="W10" i="39"/>
  <c r="AC7" i="21"/>
  <c r="W7" i="21"/>
  <c r="H7" i="33"/>
  <c r="J7" i="33"/>
  <c r="J7" i="37"/>
  <c r="F7" i="37"/>
  <c r="D70" i="39"/>
  <c r="E68" i="39"/>
  <c r="U7" i="36"/>
  <c r="AB7" i="36"/>
  <c r="T36" i="36" s="1"/>
  <c r="G36" i="36" s="1"/>
  <c r="S7" i="34"/>
  <c r="U10" i="40"/>
  <c r="AB7" i="21"/>
  <c r="B40" i="1"/>
  <c r="F24" i="78" s="1"/>
  <c r="C24" i="78" s="1"/>
  <c r="AB32" i="21"/>
  <c r="U32" i="21"/>
  <c r="AA32" i="21"/>
  <c r="S32" i="21"/>
  <c r="AA42" i="21"/>
  <c r="S42" i="21"/>
  <c r="C49" i="67"/>
  <c r="C18" i="67"/>
  <c r="C15" i="67"/>
  <c r="Q61" i="67"/>
  <c r="Q74" i="67"/>
  <c r="Q73" i="67"/>
  <c r="Q60" i="67"/>
  <c r="J15" i="15"/>
  <c r="F43" i="15"/>
  <c r="L48" i="15"/>
  <c r="F37" i="78"/>
  <c r="F26" i="78"/>
  <c r="F6" i="78"/>
  <c r="M9" i="78"/>
  <c r="M23" i="15"/>
  <c r="M9" i="15"/>
  <c r="F40" i="15"/>
  <c r="M29" i="78"/>
  <c r="F36" i="78"/>
  <c r="M8" i="78"/>
  <c r="F8" i="15"/>
  <c r="C76" i="15"/>
  <c r="F7" i="15"/>
  <c r="M24" i="15"/>
  <c r="M6" i="78"/>
  <c r="C76" i="78"/>
  <c r="M22" i="78"/>
  <c r="F26" i="15"/>
  <c r="F16" i="15"/>
  <c r="M28" i="15"/>
  <c r="F42" i="78"/>
  <c r="F16" i="78"/>
  <c r="F40" i="78"/>
  <c r="J15" i="78"/>
  <c r="F37" i="15"/>
  <c r="F42" i="15"/>
  <c r="M29" i="15"/>
  <c r="M8" i="15"/>
  <c r="M23" i="78"/>
  <c r="F43" i="78"/>
  <c r="F8" i="78"/>
  <c r="F9" i="15"/>
  <c r="M26" i="15"/>
  <c r="F13" i="15"/>
  <c r="M27" i="78"/>
  <c r="M28" i="78"/>
  <c r="L47" i="78"/>
  <c r="F13" i="78"/>
  <c r="M6" i="15"/>
  <c r="F38" i="15"/>
  <c r="F6" i="15"/>
  <c r="M26" i="78"/>
  <c r="F38" i="78"/>
  <c r="F9" i="78"/>
  <c r="M27" i="15"/>
  <c r="F36" i="15"/>
  <c r="L47" i="15"/>
  <c r="M22" i="15"/>
  <c r="M24" i="78"/>
  <c r="L48" i="78"/>
  <c r="F7" i="78"/>
  <c r="F50" i="78" l="1"/>
  <c r="M7" i="78"/>
  <c r="J6" i="78" s="1"/>
  <c r="F68" i="78"/>
  <c r="M59" i="78"/>
  <c r="L59" i="78" s="1"/>
  <c r="L58" i="78"/>
  <c r="N59" i="78"/>
  <c r="J53" i="78"/>
  <c r="J57" i="78"/>
  <c r="J55" i="78" s="1"/>
  <c r="J58" i="78" s="1"/>
  <c r="Q50" i="78" s="1"/>
  <c r="J60" i="78"/>
  <c r="Q48" i="78" s="1"/>
  <c r="I54" i="78"/>
  <c r="L57" i="78"/>
  <c r="L56" i="78"/>
  <c r="L60" i="78"/>
  <c r="J59" i="78"/>
  <c r="L46" i="78"/>
  <c r="F64" i="78"/>
  <c r="F68" i="15"/>
  <c r="N59" i="15"/>
  <c r="M59" i="15"/>
  <c r="L59" i="15" s="1"/>
  <c r="L58" i="15"/>
  <c r="F64" i="15"/>
  <c r="C27" i="15"/>
  <c r="F51" i="78"/>
  <c r="C49" i="78" s="1"/>
  <c r="C6" i="78"/>
  <c r="Q71" i="78"/>
  <c r="F71" i="78"/>
  <c r="F66" i="78"/>
  <c r="C27" i="78"/>
  <c r="F65" i="78"/>
  <c r="C6" i="15"/>
  <c r="C10" i="15" s="1"/>
  <c r="C5" i="15" s="1"/>
  <c r="J53" i="15"/>
  <c r="L56" i="15"/>
  <c r="I54" i="15"/>
  <c r="L60" i="15"/>
  <c r="J60" i="15"/>
  <c r="Q48" i="15" s="1"/>
  <c r="J57" i="15"/>
  <c r="J55" i="15" s="1"/>
  <c r="J58" i="15" s="1"/>
  <c r="Q50" i="15" s="1"/>
  <c r="J59" i="15"/>
  <c r="L57" i="15"/>
  <c r="L46" i="15"/>
  <c r="F50" i="15"/>
  <c r="M7" i="15"/>
  <c r="J6" i="15" s="1"/>
  <c r="F66" i="15"/>
  <c r="F71" i="15"/>
  <c r="Q71" i="15"/>
  <c r="F51" i="15"/>
  <c r="F65" i="15"/>
  <c r="E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47" i="3"/>
  <c r="AY262" i="3"/>
  <c r="AY230" i="3"/>
  <c r="AY219" i="3"/>
  <c r="AY397" i="3"/>
  <c r="AY374" i="3"/>
  <c r="AY360" i="3"/>
  <c r="BH6" i="3"/>
  <c r="AY109" i="3"/>
  <c r="AY73" i="3"/>
  <c r="AY56" i="3"/>
  <c r="AY202" i="3"/>
  <c r="AY166" i="3"/>
  <c r="AY145" i="3"/>
  <c r="AY295" i="3"/>
  <c r="AY259" i="3"/>
  <c r="AY242" i="3"/>
  <c r="AY18" i="3"/>
  <c r="AY90" i="3"/>
  <c r="AY75" i="3"/>
  <c r="AY387" i="3"/>
  <c r="AY444" i="3"/>
  <c r="AY269" i="3"/>
  <c r="AY311" i="3"/>
  <c r="AY535" i="3"/>
  <c r="AY555" i="3"/>
  <c r="AY68" i="3"/>
  <c r="AY178" i="3"/>
  <c r="AY117" i="3"/>
  <c r="AY239" i="3"/>
  <c r="AY222" i="3"/>
  <c r="AY389" i="3"/>
  <c r="BS6" i="3"/>
  <c r="AY93" i="3"/>
  <c r="AY40" i="3"/>
  <c r="AY150" i="3"/>
  <c r="AY27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82" i="3"/>
  <c r="AY132" i="3"/>
  <c r="AY292" i="3"/>
  <c r="AY220" i="3"/>
  <c r="AY486" i="3"/>
  <c r="AY199" i="3"/>
  <c r="AY355" i="3"/>
  <c r="AY404" i="3"/>
  <c r="BO6" i="3"/>
  <c r="AY53" i="3"/>
  <c r="AY182" i="3"/>
  <c r="AY126" i="3"/>
  <c r="AY255" i="3"/>
  <c r="AY238" i="3"/>
  <c r="AY384" i="3"/>
  <c r="AY368" i="3"/>
  <c r="BB6" i="3"/>
  <c r="AY72" i="3"/>
  <c r="AY181" i="3"/>
  <c r="AY121" i="3"/>
  <c r="AY258"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58" i="3"/>
  <c r="AY439" i="3"/>
  <c r="AY506" i="3"/>
  <c r="AY575" i="3"/>
  <c r="AY530" i="3"/>
  <c r="AY563" i="3"/>
  <c r="AY47" i="3"/>
  <c r="AY203" i="3"/>
  <c r="AY120" i="3"/>
  <c r="AY233" i="3"/>
  <c r="AY383" i="3"/>
  <c r="AY330" i="3"/>
  <c r="AY440" i="3"/>
  <c r="AY13" i="3"/>
  <c r="AY568" i="3"/>
  <c r="AY107" i="3"/>
  <c r="AY71" i="3"/>
  <c r="AY54" i="3"/>
  <c r="AY200" i="3"/>
  <c r="AY164" i="3"/>
  <c r="AY143" i="3"/>
  <c r="AY293" i="3"/>
  <c r="AY257" i="3"/>
  <c r="AY240" i="3"/>
  <c r="AY386" i="3"/>
  <c r="AY351" i="3"/>
  <c r="AY307" i="3"/>
  <c r="AY477" i="3"/>
  <c r="AY443" i="3"/>
  <c r="AY400" i="3"/>
  <c r="AY521" i="3"/>
  <c r="AY566" i="3"/>
  <c r="BT6" i="3"/>
  <c r="AY484" i="3"/>
  <c r="AY442" i="3"/>
  <c r="AY423" i="3"/>
  <c r="AY499" i="3"/>
  <c r="AY515" i="3"/>
  <c r="AY545" i="3"/>
  <c r="AY493" i="3"/>
  <c r="AY62" i="3"/>
  <c r="AY172" i="3"/>
  <c r="AY301" i="3"/>
  <c r="AY248" i="3"/>
  <c r="AY359" i="3"/>
  <c r="AY485" i="3"/>
  <c r="AY408" i="3"/>
  <c r="AY547"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63" i="3"/>
  <c r="AY231" i="3"/>
  <c r="AY246" i="3"/>
  <c r="AY214" i="3"/>
  <c r="AY392" i="3"/>
  <c r="AY381" i="3"/>
  <c r="AY357" i="3"/>
  <c r="AY554" i="3"/>
  <c r="BJ6" i="3"/>
  <c r="AY104" i="3"/>
  <c r="AY41" i="3"/>
  <c r="AY24" i="3"/>
  <c r="AY197" i="3"/>
  <c r="AY177" i="3"/>
  <c r="AY114" i="3"/>
  <c r="AY290" i="3"/>
  <c r="AY274" i="3"/>
  <c r="AY98" i="3"/>
  <c r="AY171" i="3"/>
  <c r="AY163" i="3"/>
  <c r="AY237" i="3"/>
  <c r="AY334" i="3"/>
  <c r="AY526" i="3"/>
  <c r="AY390" i="3"/>
  <c r="AY447" i="3"/>
  <c r="AY574" i="3"/>
  <c r="AY85" i="3"/>
  <c r="AY25" i="3"/>
  <c r="AY157" i="3"/>
  <c r="AY271" i="3"/>
  <c r="AY254" i="3"/>
  <c r="AY211" i="3"/>
  <c r="AY365" i="3"/>
  <c r="BI6" i="3"/>
  <c r="AY57" i="3"/>
  <c r="AY186" i="3"/>
  <c r="AY130" i="3"/>
  <c r="AY243"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AY191" i="3"/>
  <c r="AY31" i="3"/>
  <c r="AY147" i="3"/>
  <c r="AY350" i="3"/>
  <c r="AY425" i="3"/>
  <c r="AY244" i="3"/>
  <c r="AY481" i="3"/>
  <c r="AY562" i="3"/>
  <c r="AY89" i="3"/>
  <c r="AY36" i="3"/>
  <c r="AY146" i="3"/>
  <c r="AY302" i="3"/>
  <c r="AY270" i="3"/>
  <c r="AY227" i="3"/>
  <c r="AY373" i="3"/>
  <c r="AY507" i="3"/>
  <c r="AY88" i="3"/>
  <c r="AY29" i="3"/>
  <c r="AY161" i="3"/>
  <c r="AY275"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68" i="3"/>
  <c r="AY426" i="3"/>
  <c r="AY407" i="3"/>
  <c r="AY14" i="3"/>
  <c r="AY537" i="3"/>
  <c r="AY548" i="3"/>
  <c r="AY110" i="3"/>
  <c r="AY30" i="3"/>
  <c r="AY140" i="3"/>
  <c r="AY296" i="3"/>
  <c r="AY216" i="3"/>
  <c r="AY347" i="3"/>
  <c r="AY482" i="3"/>
  <c r="AY421" i="3"/>
  <c r="AY528" i="3"/>
  <c r="AY576" i="3"/>
  <c r="AY102" i="3"/>
  <c r="AY39" i="3"/>
  <c r="AY22" i="3"/>
  <c r="AY195" i="3"/>
  <c r="AY175" i="3"/>
  <c r="AY136" i="3"/>
  <c r="AY288" i="3"/>
  <c r="AY272" i="3"/>
  <c r="AY208" i="3"/>
  <c r="AY375" i="3"/>
  <c r="AY339" i="3"/>
  <c r="AY322" i="3"/>
  <c r="AY474" i="3"/>
  <c r="AY432" i="3"/>
  <c r="AY413" i="3"/>
  <c r="AY15" i="3"/>
  <c r="AY583" i="3"/>
  <c r="AY567" i="3"/>
  <c r="AY453" i="3"/>
  <c r="AY410" i="3"/>
  <c r="AY579" i="3"/>
  <c r="AY522" i="3"/>
  <c r="AY551" i="3"/>
  <c r="BP6" i="3"/>
  <c r="AY79" i="3"/>
  <c r="AY19" i="3"/>
  <c r="AY151" i="3"/>
  <c r="AY265" i="3"/>
  <c r="AY394" i="3"/>
  <c r="AY315" i="3"/>
  <c r="AY451" i="3"/>
  <c r="AY500" i="3"/>
  <c r="AY512" i="3"/>
  <c r="AY587" i="3"/>
  <c r="AY86" i="3"/>
  <c r="AY70" i="3"/>
  <c r="AY27" i="3"/>
  <c r="AY179" i="3"/>
  <c r="AY159" i="3"/>
  <c r="AY119" i="3"/>
  <c r="AY273" i="3"/>
  <c r="AY256" i="3"/>
  <c r="AY213" i="3"/>
  <c r="AY367" i="3"/>
  <c r="AY323" i="3"/>
  <c r="AY306" i="3"/>
  <c r="AY459" i="3"/>
  <c r="AY416" i="3"/>
  <c r="AY550" i="3"/>
  <c r="BC6" i="3"/>
  <c r="AY504" i="3"/>
  <c r="AY498" i="3"/>
  <c r="AA17" i="39"/>
  <c r="S17" i="39"/>
  <c r="N47" i="71"/>
  <c r="N48" i="71"/>
  <c r="O13" i="1"/>
  <c r="T34" i="71"/>
  <c r="D34" i="71"/>
  <c r="D18" i="71"/>
  <c r="T18" i="71"/>
  <c r="AC17" i="39"/>
  <c r="W17" i="39"/>
  <c r="F27" i="69"/>
  <c r="F28" i="12"/>
  <c r="C29" i="12" s="1"/>
  <c r="D28" i="12" s="1"/>
  <c r="F27" i="11"/>
  <c r="F27" i="68"/>
  <c r="E30" i="6"/>
  <c r="K14" i="1"/>
  <c r="D22" i="71"/>
  <c r="T22" i="71"/>
  <c r="D14" i="71"/>
  <c r="M20" i="43" s="1"/>
  <c r="C19" i="43" s="1"/>
  <c r="T14" i="71"/>
  <c r="H6" i="3"/>
  <c r="E6" i="3" s="1"/>
  <c r="F7" i="33"/>
  <c r="AA7" i="33" s="1"/>
  <c r="R48" i="33" s="1"/>
  <c r="M11" i="78"/>
  <c r="J10" i="78" s="1"/>
  <c r="J5" i="78" s="1"/>
  <c r="J18" i="78" s="1"/>
  <c r="F24" i="67"/>
  <c r="C24" i="67" s="1"/>
  <c r="E27" i="6"/>
  <c r="AC10" i="40"/>
  <c r="M19" i="9"/>
  <c r="C118" i="9" s="1"/>
  <c r="C14" i="74" s="1"/>
  <c r="B2" i="74" s="1"/>
  <c r="D23" i="6"/>
  <c r="D22" i="6"/>
  <c r="D19" i="6"/>
  <c r="D26" i="6"/>
  <c r="C18" i="4"/>
  <c r="D21" i="6"/>
  <c r="D14" i="6"/>
  <c r="D9" i="6"/>
  <c r="D10" i="6"/>
  <c r="L19" i="9"/>
  <c r="D29" i="6"/>
  <c r="D25" i="6"/>
  <c r="D15" i="6"/>
  <c r="D8" i="6"/>
  <c r="D24" i="6"/>
  <c r="D20" i="6"/>
  <c r="D5" i="6"/>
  <c r="D12" i="6"/>
  <c r="D11" i="6"/>
  <c r="D13" i="6"/>
  <c r="D28" i="6"/>
  <c r="E61" i="40"/>
  <c r="C115" i="43"/>
  <c r="D113" i="43"/>
  <c r="S7" i="21"/>
  <c r="S7" i="33"/>
  <c r="N17" i="43"/>
  <c r="O17" i="43"/>
  <c r="H7" i="35"/>
  <c r="F63" i="40"/>
  <c r="E65" i="40"/>
  <c r="P17" i="43"/>
  <c r="J7" i="35"/>
  <c r="W7" i="35" s="1"/>
  <c r="F7" i="35"/>
  <c r="AA7" i="35" s="1"/>
  <c r="R38" i="35" s="1"/>
  <c r="F11" i="67"/>
  <c r="C53" i="67" s="1"/>
  <c r="C48" i="67" s="1"/>
  <c r="M11" i="15"/>
  <c r="F25" i="12"/>
  <c r="C26" i="12" s="1"/>
  <c r="D25" i="12" s="1"/>
  <c r="M11" i="67"/>
  <c r="J10" i="67" s="1"/>
  <c r="J5" i="67" s="1"/>
  <c r="J18" i="67" s="1"/>
  <c r="F11" i="78"/>
  <c r="C53" i="78" s="1"/>
  <c r="C48" i="78" s="1"/>
  <c r="C66" i="78" s="1"/>
  <c r="F22" i="11"/>
  <c r="C26" i="11" s="1"/>
  <c r="D22" i="11" s="1"/>
  <c r="F24" i="15"/>
  <c r="C24" i="15" s="1"/>
  <c r="W7" i="37"/>
  <c r="AC7" i="37"/>
  <c r="V42" i="37" s="1"/>
  <c r="I42" i="37" s="1"/>
  <c r="AB7" i="33"/>
  <c r="T48" i="33" s="1"/>
  <c r="G48" i="33" s="1"/>
  <c r="U7" i="33"/>
  <c r="W7" i="36"/>
  <c r="AC7" i="36"/>
  <c r="V36" i="36" s="1"/>
  <c r="I36" i="36" s="1"/>
  <c r="G41" i="36" s="1"/>
  <c r="H41" i="36" s="1"/>
  <c r="G53" i="34"/>
  <c r="H53" i="34" s="1"/>
  <c r="G54" i="34"/>
  <c r="H54" i="34" s="1"/>
  <c r="R49" i="33"/>
  <c r="E48" i="33"/>
  <c r="S7" i="35"/>
  <c r="R50" i="34"/>
  <c r="E49" i="34"/>
  <c r="I54" i="34" s="1"/>
  <c r="J54" i="34" s="1"/>
  <c r="G40" i="36"/>
  <c r="H40" i="36" s="1"/>
  <c r="E70" i="39"/>
  <c r="F68" i="39"/>
  <c r="S7" i="37"/>
  <c r="AA7" i="37"/>
  <c r="R42" i="37" s="1"/>
  <c r="W7" i="33"/>
  <c r="AC7" i="33"/>
  <c r="V48" i="33" s="1"/>
  <c r="I48" i="33" s="1"/>
  <c r="AC7" i="35"/>
  <c r="V38" i="35" s="1"/>
  <c r="I38" i="35" s="1"/>
  <c r="I53" i="34"/>
  <c r="J53" i="34" s="1"/>
  <c r="R37" i="36"/>
  <c r="E36" i="36"/>
  <c r="G47" i="37"/>
  <c r="H47" i="37" s="1"/>
  <c r="G46" i="37"/>
  <c r="H46" i="37" s="1"/>
  <c r="AB7" i="35"/>
  <c r="T38" i="35" s="1"/>
  <c r="G38" i="35" s="1"/>
  <c r="U7" i="35"/>
  <c r="F22" i="68"/>
  <c r="C24" i="68" s="1"/>
  <c r="F22" i="69"/>
  <c r="C26" i="69" s="1"/>
  <c r="D22" i="69" s="1"/>
  <c r="C19" i="67"/>
  <c r="C20" i="67" s="1"/>
  <c r="C16" i="78"/>
  <c r="C16" i="15"/>
  <c r="J10" i="15" l="1"/>
  <c r="J5" i="15" s="1"/>
  <c r="J26" i="15" s="1"/>
  <c r="J26" i="78"/>
  <c r="M14" i="1"/>
  <c r="K16" i="1"/>
  <c r="C34" i="69"/>
  <c r="C29" i="68"/>
  <c r="D27" i="68" s="1"/>
  <c r="C47" i="68"/>
  <c r="D45" i="68" s="1"/>
  <c r="Q66" i="15"/>
  <c r="Q57" i="15"/>
  <c r="Q74" i="15"/>
  <c r="Q61" i="15"/>
  <c r="Q61" i="78"/>
  <c r="Q74" i="78"/>
  <c r="C33" i="43"/>
  <c r="C35" i="43"/>
  <c r="C37" i="43"/>
  <c r="C39" i="43"/>
  <c r="E39" i="43" s="1"/>
  <c r="T16" i="43"/>
  <c r="V16" i="43" s="1"/>
  <c r="T12" i="43"/>
  <c r="V12" i="43" s="1"/>
  <c r="T3" i="43"/>
  <c r="V3" i="43" s="1"/>
  <c r="T2" i="43"/>
  <c r="V2" i="43" s="1"/>
  <c r="T15" i="43"/>
  <c r="V15" i="43" s="1"/>
  <c r="T10" i="43"/>
  <c r="V10" i="43" s="1"/>
  <c r="T6" i="43"/>
  <c r="V6" i="43" s="1"/>
  <c r="C29" i="43"/>
  <c r="C34" i="43"/>
  <c r="C36" i="43"/>
  <c r="T11" i="43"/>
  <c r="V11" i="43" s="1"/>
  <c r="T9" i="43"/>
  <c r="V9" i="43" s="1"/>
  <c r="T8" i="43"/>
  <c r="V8" i="43" s="1"/>
  <c r="T5" i="43"/>
  <c r="V5" i="43" s="1"/>
  <c r="C38" i="43"/>
  <c r="T14" i="43"/>
  <c r="V14" i="43" s="1"/>
  <c r="T7" i="43"/>
  <c r="V7" i="43" s="1"/>
  <c r="T13" i="43"/>
  <c r="V13" i="43" s="1"/>
  <c r="T4" i="43"/>
  <c r="V4" i="43" s="1"/>
  <c r="C47" i="11"/>
  <c r="D45" i="11" s="1"/>
  <c r="C29" i="11"/>
  <c r="D27" i="11" s="1"/>
  <c r="C47" i="69"/>
  <c r="D45" i="69" s="1"/>
  <c r="C29" i="69"/>
  <c r="D27" i="69" s="1"/>
  <c r="P13" i="1"/>
  <c r="D14" i="12"/>
  <c r="D17" i="12" s="1"/>
  <c r="C17" i="12" s="1"/>
  <c r="D3" i="34"/>
  <c r="D19" i="11"/>
  <c r="C19" i="11" s="1"/>
  <c r="C20" i="11" s="1"/>
  <c r="C28" i="11" s="1"/>
  <c r="C27" i="11" s="1"/>
  <c r="D3" i="37"/>
  <c r="E6" i="6"/>
  <c r="M18" i="9"/>
  <c r="B118" i="9" s="1"/>
  <c r="B14" i="74" s="1"/>
  <c r="B1" i="74" s="1"/>
  <c r="D3" i="33"/>
  <c r="D37" i="11"/>
  <c r="C17" i="4"/>
  <c r="B4" i="52" s="1"/>
  <c r="B43" i="72" s="1"/>
  <c r="L18" i="9"/>
  <c r="C49" i="15"/>
  <c r="C48" i="15" s="1"/>
  <c r="C60" i="15" s="1"/>
  <c r="F1" i="15"/>
  <c r="Q52" i="15"/>
  <c r="Q73" i="15"/>
  <c r="Q60" i="15"/>
  <c r="Q57" i="78"/>
  <c r="Q66" i="78"/>
  <c r="Q52" i="78"/>
  <c r="F1" i="78"/>
  <c r="Q73" i="78"/>
  <c r="Q60" i="78"/>
  <c r="C23" i="67"/>
  <c r="J24" i="78"/>
  <c r="D30" i="6"/>
  <c r="K22" i="6"/>
  <c r="M22" i="6" s="1"/>
  <c r="I22" i="6" s="1"/>
  <c r="K24" i="6"/>
  <c r="M24" i="6" s="1"/>
  <c r="I24" i="6" s="1"/>
  <c r="K20" i="6"/>
  <c r="K26" i="6"/>
  <c r="M26" i="6" s="1"/>
  <c r="I26" i="6" s="1"/>
  <c r="K23" i="6"/>
  <c r="M23" i="6" s="1"/>
  <c r="I23" i="6" s="1"/>
  <c r="K21" i="6"/>
  <c r="K19" i="6"/>
  <c r="E31" i="6"/>
  <c r="K25" i="6"/>
  <c r="M25" i="6" s="1"/>
  <c r="I25" i="6" s="1"/>
  <c r="D7" i="74"/>
  <c r="D8" i="74"/>
  <c r="D16" i="6"/>
  <c r="A7" i="51"/>
  <c r="B7" i="72" s="1"/>
  <c r="C4" i="52"/>
  <c r="B45" i="72" s="1"/>
  <c r="A10" i="51"/>
  <c r="B9" i="72" s="1"/>
  <c r="D27" i="6"/>
  <c r="D31" i="6" s="1"/>
  <c r="J24" i="67"/>
  <c r="C25" i="11"/>
  <c r="C10" i="67"/>
  <c r="C5" i="67" s="1"/>
  <c r="C32" i="67" s="1"/>
  <c r="C44" i="69"/>
  <c r="D41" i="69" s="1"/>
  <c r="C24" i="11"/>
  <c r="J26" i="67"/>
  <c r="J29" i="67" s="1"/>
  <c r="C44" i="68"/>
  <c r="D41" i="68" s="1"/>
  <c r="G63" i="40"/>
  <c r="F65" i="40"/>
  <c r="C44" i="11"/>
  <c r="D41" i="11" s="1"/>
  <c r="C23" i="11"/>
  <c r="C26" i="68"/>
  <c r="D22" i="68" s="1"/>
  <c r="C10" i="78"/>
  <c r="C5" i="78" s="1"/>
  <c r="C33" i="78" s="1"/>
  <c r="E40" i="36"/>
  <c r="F40" i="36" s="1"/>
  <c r="E41" i="36"/>
  <c r="F41" i="36" s="1"/>
  <c r="I52" i="33"/>
  <c r="J52" i="33" s="1"/>
  <c r="I53" i="33"/>
  <c r="J53" i="33" s="1"/>
  <c r="R43" i="37"/>
  <c r="E42" i="37"/>
  <c r="I47" i="37" s="1"/>
  <c r="J47" i="37" s="1"/>
  <c r="G68" i="39"/>
  <c r="F70" i="39"/>
  <c r="E54" i="34"/>
  <c r="F54" i="34" s="1"/>
  <c r="E53" i="34"/>
  <c r="F53" i="34" s="1"/>
  <c r="E53" i="33"/>
  <c r="F53" i="33" s="1"/>
  <c r="E52" i="33"/>
  <c r="F52" i="33" s="1"/>
  <c r="G52" i="33"/>
  <c r="H52" i="33" s="1"/>
  <c r="G53" i="33"/>
  <c r="H53" i="33" s="1"/>
  <c r="G43" i="35"/>
  <c r="H43" i="35" s="1"/>
  <c r="G42" i="35"/>
  <c r="H42" i="35" s="1"/>
  <c r="C36" i="36"/>
  <c r="C37" i="36"/>
  <c r="B2" i="36" s="1"/>
  <c r="B3" i="36" s="1"/>
  <c r="I42" i="35"/>
  <c r="J42" i="35" s="1"/>
  <c r="C49" i="34"/>
  <c r="C50" i="34"/>
  <c r="B2" i="34" s="1"/>
  <c r="B3" i="34" s="1"/>
  <c r="R39" i="35"/>
  <c r="E38" i="35"/>
  <c r="C48" i="33"/>
  <c r="C49" i="33"/>
  <c r="B2" i="33" s="1"/>
  <c r="B3" i="33" s="1"/>
  <c r="I41" i="36"/>
  <c r="J41" i="36" s="1"/>
  <c r="I40" i="36"/>
  <c r="J40" i="36" s="1"/>
  <c r="I46" i="37"/>
  <c r="J46" i="37" s="1"/>
  <c r="C60" i="78"/>
  <c r="C26" i="67"/>
  <c r="C66" i="67"/>
  <c r="C60" i="67"/>
  <c r="C33" i="15"/>
  <c r="C38" i="15"/>
  <c r="C32" i="15"/>
  <c r="AE7" i="1"/>
  <c r="AE8" i="1"/>
  <c r="C66" i="15" l="1"/>
  <c r="J24" i="15"/>
  <c r="J18" i="15"/>
  <c r="C29" i="67"/>
  <c r="C33" i="67" s="1"/>
  <c r="C31" i="67" s="1"/>
  <c r="C22" i="11"/>
  <c r="C31" i="11" s="1"/>
  <c r="C8" i="74"/>
  <c r="C7" i="74"/>
  <c r="E38" i="43"/>
  <c r="G38" i="43"/>
  <c r="I38" i="43" s="1"/>
  <c r="G34" i="43"/>
  <c r="I34" i="43" s="1"/>
  <c r="E34" i="43"/>
  <c r="G37" i="43"/>
  <c r="I37" i="43" s="1"/>
  <c r="E37" i="43"/>
  <c r="G33" i="43"/>
  <c r="I33" i="43" s="1"/>
  <c r="E33" i="43"/>
  <c r="D10" i="68"/>
  <c r="D10" i="69"/>
  <c r="D6" i="6"/>
  <c r="D20" i="12"/>
  <c r="C20" i="12" s="1"/>
  <c r="D10" i="11"/>
  <c r="C10" i="11" s="1"/>
  <c r="G36" i="43"/>
  <c r="I36" i="43" s="1"/>
  <c r="E36" i="43"/>
  <c r="E29" i="43"/>
  <c r="C26" i="43" s="1"/>
  <c r="C30" i="43"/>
  <c r="E30" i="43" s="1"/>
  <c r="C27" i="43" s="1"/>
  <c r="G35" i="43"/>
  <c r="I35" i="43" s="1"/>
  <c r="E35" i="43"/>
  <c r="C38" i="69"/>
  <c r="C35" i="69"/>
  <c r="O14" i="1"/>
  <c r="M16" i="1"/>
  <c r="S25" i="6"/>
  <c r="H25" i="6"/>
  <c r="R25" i="6" s="1"/>
  <c r="K27" i="6"/>
  <c r="M19" i="6"/>
  <c r="S6" i="1"/>
  <c r="S23" i="6"/>
  <c r="H23" i="6"/>
  <c r="R23" i="6" s="1"/>
  <c r="S7" i="1"/>
  <c r="M20" i="6"/>
  <c r="I20" i="6" s="1"/>
  <c r="S22" i="6"/>
  <c r="H22" i="6"/>
  <c r="R22" i="6" s="1"/>
  <c r="C38" i="67"/>
  <c r="M21" i="6"/>
  <c r="I21" i="6" s="1"/>
  <c r="S8" i="1"/>
  <c r="S26" i="6"/>
  <c r="H26" i="6"/>
  <c r="R26" i="6" s="1"/>
  <c r="S24" i="6"/>
  <c r="H24" i="6"/>
  <c r="R24" i="6" s="1"/>
  <c r="I6" i="6"/>
  <c r="C11" i="39" s="1"/>
  <c r="I5" i="6"/>
  <c r="C38" i="78"/>
  <c r="H63" i="40"/>
  <c r="G65" i="40"/>
  <c r="C32" i="78"/>
  <c r="E47" i="37"/>
  <c r="F47" i="37" s="1"/>
  <c r="E46" i="37"/>
  <c r="F46" i="37" s="1"/>
  <c r="E43" i="35"/>
  <c r="F43" i="35" s="1"/>
  <c r="E42" i="35"/>
  <c r="F42" i="35" s="1"/>
  <c r="I43" i="35"/>
  <c r="J43" i="35" s="1"/>
  <c r="G70" i="39"/>
  <c r="H68" i="39"/>
  <c r="C43" i="37"/>
  <c r="B2" i="37" s="1"/>
  <c r="B3" i="37" s="1"/>
  <c r="C42" i="37"/>
  <c r="C39" i="35"/>
  <c r="B2" i="35" s="1"/>
  <c r="B3" i="35" s="1"/>
  <c r="C38" i="35"/>
  <c r="J19" i="67"/>
  <c r="J17" i="67" s="1"/>
  <c r="E6" i="76"/>
  <c r="F41" i="78"/>
  <c r="F41" i="15"/>
  <c r="C17" i="78"/>
  <c r="C17" i="15"/>
  <c r="C13" i="67" l="1"/>
  <c r="C56" i="67" s="1"/>
  <c r="C65" i="67" s="1"/>
  <c r="C57" i="67"/>
  <c r="C61" i="67" s="1"/>
  <c r="C59" i="67" s="1"/>
  <c r="J14" i="67"/>
  <c r="J22" i="67" s="1"/>
  <c r="Q49" i="67"/>
  <c r="C36" i="67"/>
  <c r="J59" i="67"/>
  <c r="J60" i="67" s="1"/>
  <c r="L46" i="67" s="1"/>
  <c r="J29" i="78"/>
  <c r="F69" i="78"/>
  <c r="J29" i="15"/>
  <c r="F69" i="15"/>
  <c r="E2" i="76"/>
  <c r="C11" i="21"/>
  <c r="J11" i="39"/>
  <c r="F11" i="39"/>
  <c r="H11" i="39"/>
  <c r="P14" i="1"/>
  <c r="P16" i="1" s="1"/>
  <c r="C11" i="12" s="1"/>
  <c r="O16" i="1"/>
  <c r="B2" i="43"/>
  <c r="D19" i="68"/>
  <c r="D37" i="68" s="1"/>
  <c r="C10" i="68"/>
  <c r="L16" i="1"/>
  <c r="N16" i="1"/>
  <c r="D19" i="69"/>
  <c r="C10" i="69"/>
  <c r="C8" i="69" s="1"/>
  <c r="C5" i="69" s="1"/>
  <c r="C23" i="69" s="1"/>
  <c r="T8" i="1"/>
  <c r="E8" i="70"/>
  <c r="AR8" i="1"/>
  <c r="AQ8" i="1"/>
  <c r="E7" i="70"/>
  <c r="AR7" i="1"/>
  <c r="T7" i="1"/>
  <c r="AQ7" i="1"/>
  <c r="M27" i="6"/>
  <c r="I19" i="6"/>
  <c r="S21" i="6"/>
  <c r="H21" i="6"/>
  <c r="R21" i="6" s="1"/>
  <c r="R8" i="1" s="1"/>
  <c r="S20" i="6"/>
  <c r="H20" i="6"/>
  <c r="R20" i="6" s="1"/>
  <c r="R7" i="1" s="1"/>
  <c r="AR6" i="1"/>
  <c r="S16" i="1"/>
  <c r="AQ6" i="1"/>
  <c r="T6" i="1"/>
  <c r="I63" i="40"/>
  <c r="H65" i="40"/>
  <c r="I68" i="39"/>
  <c r="H70" i="39"/>
  <c r="C75" i="67"/>
  <c r="F35" i="78"/>
  <c r="C14" i="15"/>
  <c r="M21" i="15"/>
  <c r="B6" i="76"/>
  <c r="F35" i="15"/>
  <c r="M21" i="78"/>
  <c r="C14" i="78"/>
  <c r="J13" i="67" l="1"/>
  <c r="J23" i="67" s="1"/>
  <c r="J16" i="67" s="1"/>
  <c r="J25" i="67" s="1"/>
  <c r="Q48" i="67"/>
  <c r="C64" i="67"/>
  <c r="C58" i="67" s="1"/>
  <c r="C67" i="67" s="1"/>
  <c r="C68" i="67" s="1"/>
  <c r="C71" i="67" s="1"/>
  <c r="Q70" i="67"/>
  <c r="C37" i="67"/>
  <c r="C30" i="67" s="1"/>
  <c r="C39" i="67" s="1"/>
  <c r="B2" i="76"/>
  <c r="B3" i="76" s="1"/>
  <c r="F34" i="68"/>
  <c r="C37" i="68" s="1"/>
  <c r="F11" i="12"/>
  <c r="C14" i="12" s="1"/>
  <c r="F34" i="11"/>
  <c r="B29" i="1"/>
  <c r="H9" i="68"/>
  <c r="H18" i="12" s="1"/>
  <c r="B3" i="43"/>
  <c r="C12" i="12"/>
  <c r="C15" i="12"/>
  <c r="S11" i="39"/>
  <c r="AA11" i="39"/>
  <c r="J11" i="21"/>
  <c r="F11" i="21"/>
  <c r="H11" i="21"/>
  <c r="D37" i="69"/>
  <c r="C37" i="69" s="1"/>
  <c r="C33" i="69" s="1"/>
  <c r="C19" i="69"/>
  <c r="AB11" i="39"/>
  <c r="U11" i="39"/>
  <c r="W11" i="39"/>
  <c r="AC11" i="39"/>
  <c r="E2" i="70"/>
  <c r="C18" i="15"/>
  <c r="C15" i="15"/>
  <c r="C18" i="78"/>
  <c r="C15" i="78"/>
  <c r="C34" i="15"/>
  <c r="C31" i="15" s="1"/>
  <c r="F63" i="15"/>
  <c r="C62" i="15" s="1"/>
  <c r="J20" i="15"/>
  <c r="C34" i="78"/>
  <c r="C31" i="78" s="1"/>
  <c r="F63" i="78"/>
  <c r="C62" i="78" s="1"/>
  <c r="J20" i="78"/>
  <c r="T16" i="1"/>
  <c r="S19" i="6"/>
  <c r="S27" i="6" s="1"/>
  <c r="H19" i="6"/>
  <c r="I27" i="6"/>
  <c r="I65" i="40"/>
  <c r="J63" i="40"/>
  <c r="I70" i="39"/>
  <c r="J68" i="39"/>
  <c r="L51" i="67"/>
  <c r="C40" i="67" l="1"/>
  <c r="C80" i="67"/>
  <c r="C79" i="67" s="1"/>
  <c r="Q69" i="67"/>
  <c r="Q68" i="67" s="1"/>
  <c r="C16" i="12"/>
  <c r="C20" i="69"/>
  <c r="C24" i="69"/>
  <c r="C28" i="69"/>
  <c r="C27" i="69" s="1"/>
  <c r="U11" i="21"/>
  <c r="AB11" i="21"/>
  <c r="T48" i="21" s="1"/>
  <c r="G48" i="21" s="1"/>
  <c r="W11" i="21"/>
  <c r="AC11" i="21"/>
  <c r="V48" i="21" s="1"/>
  <c r="I48" i="21" s="1"/>
  <c r="I52" i="21" s="1"/>
  <c r="J52" i="21" s="1"/>
  <c r="C34" i="11"/>
  <c r="C36" i="11"/>
  <c r="C37" i="11"/>
  <c r="C36" i="68"/>
  <c r="C34" i="68"/>
  <c r="C39" i="69"/>
  <c r="C42" i="69"/>
  <c r="S11" i="21"/>
  <c r="AA11" i="21"/>
  <c r="R48" i="21" s="1"/>
  <c r="C8" i="68"/>
  <c r="C18" i="12"/>
  <c r="C21" i="12" s="1"/>
  <c r="C22" i="12" s="1"/>
  <c r="C19" i="78"/>
  <c r="C20" i="78" s="1"/>
  <c r="C23" i="78" s="1"/>
  <c r="C19" i="15"/>
  <c r="C20" i="15" s="1"/>
  <c r="C26" i="15" s="1"/>
  <c r="R19" i="6"/>
  <c r="H27" i="6"/>
  <c r="K63" i="40"/>
  <c r="J65" i="40"/>
  <c r="K68" i="39"/>
  <c r="J70" i="39"/>
  <c r="L57" i="67"/>
  <c r="L60" i="67" s="1"/>
  <c r="Q66" i="67" s="1"/>
  <c r="Q67" i="67"/>
  <c r="C45" i="67"/>
  <c r="C46" i="67" s="1"/>
  <c r="Q56" i="67" l="1"/>
  <c r="D2" i="67"/>
  <c r="C83" i="67"/>
  <c r="C82" i="67" s="1"/>
  <c r="Q65" i="67"/>
  <c r="Q75" i="67" s="1"/>
  <c r="Q47" i="67"/>
  <c r="Q53" i="67" s="1"/>
  <c r="C43" i="67"/>
  <c r="E48" i="21"/>
  <c r="R49" i="21"/>
  <c r="C35" i="68"/>
  <c r="C38" i="68"/>
  <c r="C38" i="11"/>
  <c r="C35" i="11"/>
  <c r="C33" i="11"/>
  <c r="C46" i="69"/>
  <c r="C45" i="69" s="1"/>
  <c r="C43" i="69"/>
  <c r="C41" i="69" s="1"/>
  <c r="G53" i="21"/>
  <c r="H53" i="21" s="1"/>
  <c r="G52" i="21"/>
  <c r="H52" i="21" s="1"/>
  <c r="C25" i="69"/>
  <c r="C22" i="69" s="1"/>
  <c r="C31" i="69" s="1"/>
  <c r="C26" i="78"/>
  <c r="C29" i="78" s="1"/>
  <c r="Q49" i="78" s="1"/>
  <c r="C23" i="15"/>
  <c r="C29" i="15" s="1"/>
  <c r="R6" i="1"/>
  <c r="R16" i="1" s="1"/>
  <c r="R27" i="6"/>
  <c r="Q57" i="67"/>
  <c r="Q62" i="67" s="1"/>
  <c r="K65" i="40"/>
  <c r="L63" i="40"/>
  <c r="K70" i="39"/>
  <c r="L68" i="39"/>
  <c r="B2" i="67" l="1"/>
  <c r="B3" i="67"/>
  <c r="C33" i="68"/>
  <c r="C39" i="68" s="1"/>
  <c r="C39" i="11"/>
  <c r="C43" i="11" s="1"/>
  <c r="C42" i="11"/>
  <c r="C46" i="11"/>
  <c r="C45" i="11" s="1"/>
  <c r="C49" i="21"/>
  <c r="C48" i="21"/>
  <c r="C49" i="69"/>
  <c r="C51" i="69" s="1"/>
  <c r="I53" i="21"/>
  <c r="J53" i="21" s="1"/>
  <c r="E53" i="21"/>
  <c r="F53" i="21" s="1"/>
  <c r="E52" i="21"/>
  <c r="F52" i="21" s="1"/>
  <c r="C13" i="78"/>
  <c r="C37" i="78" s="1"/>
  <c r="J19" i="78"/>
  <c r="J17" i="78" s="1"/>
  <c r="C57" i="78"/>
  <c r="J14" i="78"/>
  <c r="C36" i="78"/>
  <c r="C36" i="15"/>
  <c r="J14" i="15"/>
  <c r="Q49" i="15"/>
  <c r="J19" i="15"/>
  <c r="J17" i="15" s="1"/>
  <c r="C13" i="15"/>
  <c r="C57" i="15"/>
  <c r="L65" i="40"/>
  <c r="M63" i="40"/>
  <c r="M68" i="39"/>
  <c r="L70" i="39"/>
  <c r="C41" i="11" l="1"/>
  <c r="C42" i="68"/>
  <c r="C49" i="11"/>
  <c r="C51" i="11" s="1"/>
  <c r="C52" i="11" s="1"/>
  <c r="B2" i="21"/>
  <c r="B3" i="21"/>
  <c r="C46" i="68"/>
  <c r="C45" i="68" s="1"/>
  <c r="C43" i="68"/>
  <c r="C52" i="69"/>
  <c r="B2" i="69" s="1"/>
  <c r="B3" i="69" s="1"/>
  <c r="C56" i="78"/>
  <c r="C65" i="78" s="1"/>
  <c r="Q70" i="78"/>
  <c r="C75" i="78"/>
  <c r="C61" i="78"/>
  <c r="C59" i="78" s="1"/>
  <c r="C64" i="78"/>
  <c r="C30" i="78"/>
  <c r="C39" i="78" s="1"/>
  <c r="C40" i="78" s="1"/>
  <c r="Q65" i="78" s="1"/>
  <c r="Q75" i="78" s="1"/>
  <c r="J13" i="78"/>
  <c r="J23" i="78" s="1"/>
  <c r="J22" i="78"/>
  <c r="C64" i="15"/>
  <c r="C61" i="15"/>
  <c r="C59" i="15" s="1"/>
  <c r="J13" i="15"/>
  <c r="J23" i="15" s="1"/>
  <c r="J22" i="15"/>
  <c r="Q70" i="15"/>
  <c r="C75" i="15"/>
  <c r="C56" i="15"/>
  <c r="C65" i="15" s="1"/>
  <c r="C37" i="15"/>
  <c r="C30" i="15" s="1"/>
  <c r="C39" i="15" s="1"/>
  <c r="M65" i="40"/>
  <c r="N63" i="40"/>
  <c r="M70" i="39"/>
  <c r="N68" i="39"/>
  <c r="L51" i="78"/>
  <c r="L51" i="15"/>
  <c r="C41" i="68" l="1"/>
  <c r="C49" i="68" s="1"/>
  <c r="C51" i="68" s="1"/>
  <c r="B2" i="11"/>
  <c r="B3" i="11" s="1"/>
  <c r="C56" i="11"/>
  <c r="C57" i="11" s="1"/>
  <c r="C57" i="69"/>
  <c r="C56" i="69" s="1"/>
  <c r="J16" i="78"/>
  <c r="J25" i="78" s="1"/>
  <c r="C58" i="78"/>
  <c r="C67" i="78" s="1"/>
  <c r="C68" i="78" s="1"/>
  <c r="C71" i="78" s="1"/>
  <c r="C43" i="78"/>
  <c r="C83" i="78"/>
  <c r="C82" i="78" s="1"/>
  <c r="B2" i="78"/>
  <c r="E8" i="12" s="1"/>
  <c r="C80" i="78"/>
  <c r="C79" i="78" s="1"/>
  <c r="Q47" i="78"/>
  <c r="Q53" i="78" s="1"/>
  <c r="Q56" i="78"/>
  <c r="Q62" i="78" s="1"/>
  <c r="Q69" i="78"/>
  <c r="Q68" i="78" s="1"/>
  <c r="Q67" i="78"/>
  <c r="J16" i="15"/>
  <c r="J25" i="15" s="1"/>
  <c r="Q67" i="15"/>
  <c r="C58" i="15"/>
  <c r="C67" i="15" s="1"/>
  <c r="C68" i="15" s="1"/>
  <c r="Q69" i="15"/>
  <c r="Q68" i="15" s="1"/>
  <c r="C40" i="15"/>
  <c r="C80" i="15"/>
  <c r="C79" i="15" s="1"/>
  <c r="N65" i="40"/>
  <c r="O63" i="40"/>
  <c r="O65" i="40" s="1"/>
  <c r="O68" i="39"/>
  <c r="O70" i="39" s="1"/>
  <c r="N70" i="39"/>
  <c r="AO8" i="1"/>
  <c r="C46" i="78" l="1"/>
  <c r="B3" i="78"/>
  <c r="E6" i="12" s="1"/>
  <c r="B8" i="70"/>
  <c r="B2" i="15"/>
  <c r="C83" i="15"/>
  <c r="C82" i="15" s="1"/>
  <c r="Q47" i="15"/>
  <c r="Q53" i="15" s="1"/>
  <c r="Q56" i="15"/>
  <c r="Q62" i="15" s="1"/>
  <c r="C43" i="15"/>
  <c r="Q65" i="15"/>
  <c r="Q75" i="15" s="1"/>
  <c r="C46" i="15"/>
  <c r="C71" i="15"/>
  <c r="F7" i="40"/>
  <c r="J7" i="40"/>
  <c r="H7" i="40"/>
  <c r="J7" i="39"/>
  <c r="F7" i="39"/>
  <c r="H7" i="39"/>
  <c r="AO7" i="1"/>
  <c r="B7" i="70" l="1"/>
  <c r="B2" i="70" s="1"/>
  <c r="B3" i="70" s="1"/>
  <c r="D8" i="12"/>
  <c r="B3" i="15"/>
  <c r="D6" i="12" s="1"/>
  <c r="W7" i="40"/>
  <c r="AC7" i="40"/>
  <c r="V42" i="40" s="1"/>
  <c r="I42" i="40" s="1"/>
  <c r="AB7" i="40"/>
  <c r="T42" i="40" s="1"/>
  <c r="G42" i="40" s="1"/>
  <c r="U7" i="40"/>
  <c r="AA7" i="40"/>
  <c r="R42" i="40" s="1"/>
  <c r="S7" i="40"/>
  <c r="AA7" i="39"/>
  <c r="R47" i="39" s="1"/>
  <c r="S7" i="39"/>
  <c r="AB7" i="39"/>
  <c r="T47" i="39" s="1"/>
  <c r="G47" i="39" s="1"/>
  <c r="U7" i="39"/>
  <c r="W7" i="39"/>
  <c r="AC7" i="39"/>
  <c r="V47" i="39" s="1"/>
  <c r="I47" i="39" s="1"/>
  <c r="I46" i="40" l="1"/>
  <c r="J46" i="40" s="1"/>
  <c r="R43" i="40"/>
  <c r="E42" i="40"/>
  <c r="G46" i="40"/>
  <c r="H46" i="40" s="1"/>
  <c r="G47" i="40"/>
  <c r="H47" i="40" s="1"/>
  <c r="I51" i="39"/>
  <c r="J51" i="39" s="1"/>
  <c r="G52" i="39"/>
  <c r="H52" i="39" s="1"/>
  <c r="G51" i="39"/>
  <c r="H51" i="39" s="1"/>
  <c r="R48" i="39"/>
  <c r="E47" i="39"/>
  <c r="E47" i="40" l="1"/>
  <c r="F47" i="40" s="1"/>
  <c r="E46" i="40"/>
  <c r="F46" i="40" s="1"/>
  <c r="I47" i="40"/>
  <c r="J47" i="40" s="1"/>
  <c r="C42" i="40"/>
  <c r="C43" i="40"/>
  <c r="E51" i="39"/>
  <c r="F51" i="39" s="1"/>
  <c r="E52" i="39"/>
  <c r="F52" i="39" s="1"/>
  <c r="I52" i="39"/>
  <c r="J52" i="39" s="1"/>
  <c r="C48" i="39"/>
  <c r="C47" i="39"/>
  <c r="B58" i="40" l="1"/>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6" i="68" l="1"/>
  <c r="C7" i="68" s="1"/>
  <c r="C5" i="68" s="1"/>
  <c r="C20" i="68" l="1"/>
  <c r="C25" i="68" s="1"/>
  <c r="C23" i="68"/>
  <c r="C22" i="68" l="1"/>
  <c r="C28" i="68"/>
  <c r="C27" i="68" s="1"/>
  <c r="C31" i="68" l="1"/>
  <c r="C52" i="68" s="1"/>
  <c r="B2" i="68" s="1"/>
  <c r="C19" i="9"/>
  <c r="C57" i="68" l="1"/>
  <c r="C56" i="68" s="1"/>
  <c r="C21" i="9"/>
  <c r="C102" i="9"/>
  <c r="B3" i="68"/>
  <c r="D35" i="9"/>
  <c r="D34" i="9"/>
  <c r="C20" i="9"/>
  <c r="C103" i="9" l="1"/>
  <c r="C6" i="12" l="1"/>
  <c r="C4" i="12" s="1"/>
  <c r="C31" i="12" l="1"/>
  <c r="C23" i="12"/>
  <c r="C27" i="12" l="1"/>
  <c r="C25" i="12" s="1"/>
  <c r="C30" i="12"/>
  <c r="C28" i="12" s="1"/>
  <c r="C32" i="12" l="1"/>
  <c r="B2" i="12" s="1"/>
  <c r="B3" i="12" s="1"/>
  <c r="D20" i="9"/>
  <c r="D19" i="9"/>
  <c r="D21" i="9" l="1"/>
  <c r="D22" i="9"/>
  <c r="D102" i="9"/>
  <c r="G19" i="9"/>
  <c r="C32" i="9" s="1"/>
  <c r="D103" i="9"/>
  <c r="G20" i="9"/>
  <c r="G21" i="9" l="1"/>
  <c r="D28" i="9"/>
  <c r="H118" i="9"/>
  <c r="C35" i="9"/>
  <c r="F118" i="9" s="1"/>
  <c r="C34" i="9" l="1"/>
  <c r="D118" i="9" s="1"/>
  <c r="J118" i="9" s="1"/>
  <c r="C104" i="9"/>
  <c r="D14" i="74"/>
  <c r="H119" i="9"/>
  <c r="H5" i="52" s="1"/>
  <c r="H101" i="9"/>
  <c r="H4" i="52"/>
  <c r="I118" i="9"/>
  <c r="F119" i="9"/>
  <c r="F5" i="52" s="1"/>
  <c r="B53" i="72" s="1"/>
  <c r="G118" i="9"/>
  <c r="G4" i="52" s="1"/>
  <c r="B52" i="72" s="1"/>
  <c r="F4" i="52"/>
  <c r="B51" i="72" s="1"/>
  <c r="D4" i="52" l="1"/>
  <c r="B47" i="72" s="1"/>
  <c r="D119" i="9"/>
  <c r="D5" i="52" s="1"/>
  <c r="B49" i="72" s="1"/>
  <c r="C105" i="9"/>
  <c r="H102" i="9"/>
  <c r="D7" i="53" s="1"/>
  <c r="B21" i="72" s="1"/>
  <c r="I4" i="52"/>
  <c r="E118" i="9"/>
  <c r="E4" i="52" s="1"/>
  <c r="B48" i="72" s="1"/>
  <c r="H107" i="9"/>
  <c r="D45" i="9"/>
  <c r="D5" i="53"/>
  <c r="M48" i="9"/>
  <c r="E14" i="74"/>
  <c r="F14" i="74"/>
  <c r="B5" i="74"/>
  <c r="D5" i="74" l="1"/>
  <c r="C5" i="74"/>
  <c r="D6" i="53"/>
  <c r="B22" i="72" s="1"/>
  <c r="B20" i="72"/>
  <c r="D122" i="9"/>
  <c r="M49" i="9"/>
  <c r="H108" i="9"/>
  <c r="D15" i="53" s="1"/>
  <c r="B31" i="72" s="1"/>
  <c r="D13" i="53"/>
  <c r="C93" i="9"/>
  <c r="C86" i="9" s="1"/>
  <c r="C64" i="9"/>
  <c r="C63" i="9" s="1"/>
  <c r="C67" i="9" s="1"/>
  <c r="C68" i="9" s="1"/>
  <c r="D54" i="9" s="1"/>
  <c r="D53" i="9"/>
  <c r="C85" i="9"/>
  <c r="C72" i="9"/>
  <c r="C78" i="9"/>
  <c r="C73" i="9" s="1"/>
  <c r="D52" i="9"/>
  <c r="D55" i="9"/>
  <c r="M53" i="9" s="1"/>
  <c r="C79" i="9" l="1"/>
  <c r="C80" i="9" s="1"/>
  <c r="E80" i="9" s="1"/>
  <c r="E81" i="9" s="1"/>
  <c r="D8" i="52"/>
  <c r="G14" i="74"/>
  <c r="B6" i="74" s="1"/>
  <c r="D123" i="9"/>
  <c r="D9" i="52" s="1"/>
  <c r="C95" i="9"/>
  <c r="D14" i="53"/>
  <c r="B32" i="72" s="1"/>
  <c r="B30" i="72"/>
  <c r="L63" i="9"/>
  <c r="M63" i="9" s="1"/>
  <c r="L67" i="9"/>
  <c r="M67" i="9" s="1"/>
  <c r="L68" i="9"/>
  <c r="M68" i="9" s="1"/>
  <c r="L64" i="9"/>
  <c r="M64" i="9" s="1"/>
  <c r="L65" i="9"/>
  <c r="M65" i="9" s="1"/>
  <c r="L66" i="9"/>
  <c r="M66" i="9" s="1"/>
  <c r="M69" i="9" l="1"/>
  <c r="N69" i="9" s="1"/>
  <c r="C96" i="9"/>
  <c r="E96" i="9" s="1"/>
  <c r="E97" i="9" s="1"/>
  <c r="C6" i="74"/>
  <c r="D6" i="74"/>
  <c r="C81" i="9"/>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<sst xmlns="http://schemas.openxmlformats.org/spreadsheetml/2006/main" count="9293" uniqueCount="3465">
  <si>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</si>
  <si>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</si>
  <si>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</si>
  <si>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</si>
  <si>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</si>
  <si>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</si>
  <si>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</si>
  <si>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</si>
  <si>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</si>
  <si>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</si>
  <si>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</si>
  <si>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</si>
  <si>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</si>
  <si>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</si>
  <si>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</si>
  <si>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</si>
  <si>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</si>
  <si>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</si>
  <si>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</si>
  <si>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</si>
  <si>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</si>
  <si>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</si>
  <si>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</si>
  <si>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</si>
  <si>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</si>
  <si>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</si>
  <si>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</si>
  <si>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</si>
  <si>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</si>
  <si>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</si>
  <si>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</si>
  <si>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</si>
  <si>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</si>
  <si>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</si>
  <si>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</si>
  <si>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</si>
  <si>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</si>
  <si>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</si>
  <si>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</si>
  <si>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</si>
  <si>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</si>
  <si>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</si>
  <si>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</si>
  <si>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</si>
  <si>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</si>
  <si>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</si>
  <si>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</si>
  <si>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</si>
  <si>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</si>
  <si>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</si>
  <si>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</si>
  <si>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</si>
  <si>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</si>
  <si>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</si>
  <si>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</si>
  <si>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</si>
  <si>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</si>
  <si>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</si>
  <si>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</si>
  <si>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</si>
  <si>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</si>
  <si>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</si>
  <si>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</si>
  <si>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</si>
  <si>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</si>
  <si>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</si>
  <si>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</si>
  <si>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</si>
  <si>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</si>
  <si>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</si>
  <si>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</si>
  <si>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</si>
  <si>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</si>
  <si>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</si>
  <si>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</si>
  <si>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</si>
  <si>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</si>
  <si>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</si>
  <si>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</si>
  <si>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</si>
  <si>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</si>
  <si>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</si>
  <si>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</si>
  <si>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</si>
  <si>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</si>
  <si>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</si>
  <si>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</si>
  <si>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</si>
  <si>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</si>
  <si>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</si>
  <si>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</si>
  <si>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</si>
  <si>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</si>
  <si>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</si>
  <si>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</si>
  <si>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</si>
  <si>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</si>
  <si>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</si>
  <si>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</si>
  <si>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</si>
  <si>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</si>
  <si>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</si>
  <si>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</si>
  <si>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</si>
  <si>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</si>
  <si>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</si>
  <si>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</si>
  <si>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</si>
  <si>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</si>
  <si>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</si>
  <si>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</si>
  <si>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</si>
  <si>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</si>
  <si>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</si>
  <si>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</si>
  <si>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</si>
  <si>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</si>
  <si>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</si>
  <si>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</si>
  <si>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</si>
  <si>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</si>
  <si>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</si>
  <si>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</si>
  <si>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</si>
  <si>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</si>
  <si>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</si>
  <si>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</si>
  <si>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</si>
  <si>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</si>
  <si>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</si>
  <si>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</si>
  <si>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</si>
  <si>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</si>
  <si>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</si>
  <si>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</si>
  <si>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</si>
  <si>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</si>
  <si>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</si>
  <si>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</si>
  <si>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</si>
  <si>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</si>
  <si>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</si>
  <si>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</si>
  <si>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</si>
  <si>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</si>
  <si>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</si>
  <si>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</si>
  <si>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</si>
  <si>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</si>
  <si>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</si>
  <si>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</si>
  <si>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</si>
  <si>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</si>
  <si>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</si>
  <si>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</si>
  <si>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</si>
  <si>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</si>
  <si>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</si>
  <si>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</si>
  <si>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</si>
  <si>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</si>
  <si>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</si>
  <si>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</si>
  <si>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</si>
  <si>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</si>
  <si>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</si>
  <si>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</si>
  <si>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</si>
  <si>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</si>
  <si>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</si>
  <si>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</si>
  <si>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</si>
  <si>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</si>
  <si>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</si>
  <si>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</si>
  <si>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</si>
  <si>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</si>
  <si>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</si>
  <si>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</si>
  <si>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</si>
  <si>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</si>
  <si>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</si>
  <si>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</si>
  <si>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</si>
  <si>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</si>
  <si>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</si>
  <si>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</si>
  <si>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</si>
  <si>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</si>
  <si>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</si>
  <si>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</si>
  <si>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</si>
  <si>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</si>
  <si>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</si>
  <si>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</si>
  <si>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</si>
  <si>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</si>
  <si>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</si>
  <si>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</si>
  <si>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</si>
  <si>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</si>
  <si>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</si>
  <si>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</si>
  <si>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</si>
  <si>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</si>
  <si>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</si>
  <si>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</si>
  <si>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</si>
  <si>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</si>
  <si>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</si>
  <si>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</si>
  <si>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</si>
  <si>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</si>
  <si>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</si>
  <si>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</si>
  <si>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</si>
  <si>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</si>
  <si>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</si>
  <si>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</si>
  <si>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</si>
  <si>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</si>
  <si>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</si>
  <si>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</si>
  <si>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</si>
  <si>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</si>
  <si>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</si>
  <si>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</si>
  <si>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</si>
  <si>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</si>
  <si>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</si>
  <si>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</si>
  <si>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</si>
  <si>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</si>
  <si>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</si>
  <si>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</si>
  <si>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</si>
  <si>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</si>
  <si>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</si>
  <si>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</si>
  <si>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</si>
  <si>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</si>
  <si>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</si>
  <si>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</si>
  <si>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</si>
  <si>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</si>
  <si>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</si>
  <si>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</si>
  <si>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</si>
  <si>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</si>
  <si>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</si>
  <si>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</si>
  <si>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</si>
  <si>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</si>
  <si>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</si>
  <si>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</si>
  <si>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</si>
  <si>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</si>
  <si>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</si>
  <si>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</si>
  <si>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</si>
  <si>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</si>
  <si>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</si>
  <si>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</si>
  <si>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</si>
  <si>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</si>
  <si>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</si>
  <si>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</si>
  <si>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</si>
  <si>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</si>
  <si>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</si>
  <si>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</si>
  <si>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</si>
  <si>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</si>
  <si>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</si>
  <si>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</si>
  <si>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</si>
  <si>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</si>
  <si>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</si>
  <si>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</si>
  <si>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</si>
  <si>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</si>
  <si>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</si>
  <si>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</si>
  <si>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</si>
  <si>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</si>
  <si>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</si>
  <si>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</si>
  <si>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</si>
  <si>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</si>
  <si>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</si>
  <si>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</si>
  <si>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</si>
  <si>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</si>
  <si>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</si>
  <si>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</si>
  <si>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</si>
  <si>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</si>
  <si>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</si>
  <si>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</si>
  <si>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</si>
  <si>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</si>
  <si>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</si>
  <si>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</si>
  <si>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</si>
  <si>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</si>
  <si>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</si>
  <si>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</si>
  <si>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</si>
  <si>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</si>
  <si>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</si>
  <si>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</si>
  <si>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</si>
  <si>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</si>
  <si>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</si>
  <si>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</si>
  <si>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</si>
  <si>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</si>
  <si>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</si>
  <si>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</si>
  <si>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</si>
  <si>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</si>
  <si>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</si>
  <si>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</si>
  <si>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</si>
  <si>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</si>
  <si>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</si>
  <si>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</si>
  <si>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</si>
  <si>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</si>
  <si>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</si>
  <si>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</si>
  <si>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</si>
  <si>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</si>
  <si>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</si>
  <si>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</si>
  <si>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</si>
  <si>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</si>
  <si>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</si>
  <si>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</si>
  <si>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</si>
  <si>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</si>
  <si>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</si>
  <si>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</si>
  <si>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</si>
  <si>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</si>
  <si>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</si>
  <si>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</si>
  <si>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</si>
  <si>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</si>
  <si>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</si>
  <si>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</si>
  <si>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</si>
  <si>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</si>
  <si>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</si>
  <si>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</si>
  <si>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</si>
  <si>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</si>
  <si>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</si>
  <si>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</si>
  <si>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</si>
  <si>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</si>
  <si>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</si>
  <si>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</si>
  <si>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</si>
  <si>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</si>
  <si>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</si>
  <si>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</si>
  <si>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</si>
  <si>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</si>
  <si>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</si>
  <si>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</si>
  <si>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</si>
  <si>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</si>
  <si>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</si>
  <si>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</si>
  <si>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</si>
  <si>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</si>
  <si>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</si>
  <si>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</si>
  <si>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</si>
  <si>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</si>
  <si>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</si>
  <si>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</si>
  <si>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</si>
  <si>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</si>
  <si>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</si>
  <si>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</si>
  <si>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</si>
  <si>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</si>
  <si>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</si>
  <si>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</si>
  <si>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</si>
  <si>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</si>
  <si>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</si>
  <si>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</si>
  <si>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</si>
  <si>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</si>
  <si>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</si>
  <si>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</si>
  <si>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</si>
  <si>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</si>
  <si>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</si>
  <si>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</si>
  <si>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</si>
  <si>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</si>
  <si>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</si>
  <si>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</si>
  <si>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</si>
  <si>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</si>
  <si>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</si>
  <si>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</si>
  <si>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</si>
  <si>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</si>
  <si>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</si>
  <si>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</si>
  <si>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</si>
  <si>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</si>
  <si>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</si>
  <si>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</si>
  <si>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</si>
  <si>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</si>
  <si>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</si>
  <si>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</si>
  <si>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</si>
  <si>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</si>
  <si>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</si>
  <si>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</si>
  <si>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</si>
  <si>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</si>
  <si>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</si>
  <si>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</si>
  <si>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</si>
  <si>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</si>
  <si>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</si>
  <si>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</si>
  <si>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</si>
  <si>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</si>
  <si>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</si>
  <si>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</si>
  <si>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</si>
  <si>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</si>
  <si>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</si>
  <si>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</si>
  <si>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</si>
  <si>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</si>
  <si>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</si>
  <si>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</si>
  <si>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</si>
  <si>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</si>
  <si>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</si>
  <si>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</si>
  <si>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</si>
  <si>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</si>
  <si>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</si>
  <si>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</si>
  <si>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</si>
  <si>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</si>
  <si>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</si>
  <si>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</si>
  <si>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</si>
  <si>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</si>
  <si>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</si>
  <si>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</si>
  <si>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</si>
  <si>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</si>
  <si>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</si>
  <si>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</si>
  <si>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</si>
  <si>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</si>
  <si>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</si>
  <si>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</si>
  <si>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</si>
  <si>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</si>
  <si>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</si>
  <si>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</si>
  <si>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</si>
  <si>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</si>
  <si>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</si>
  <si>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</si>
  <si>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</si>
  <si>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</si>
  <si>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</si>
  <si>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</si>
  <si>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</si>
  <si>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</si>
  <si>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</si>
  <si>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</si>
  <si>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</si>
  <si>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</si>
  <si>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</si>
  <si>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</si>
  <si>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</si>
  <si>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</si>
  <si>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</si>
  <si>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</si>
  <si>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</si>
  <si>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</si>
  <si>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</si>
  <si>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</si>
  <si>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</si>
  <si>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</si>
  <si>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</si>
  <si>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</si>
  <si>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</si>
  <si>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</si>
  <si>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</si>
  <si>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</si>
  <si>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</si>
  <si>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</si>
  <si>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</si>
  <si>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</si>
  <si>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</si>
  <si>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</si>
  <si>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</si>
  <si>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</si>
  <si>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</si>
  <si>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</si>
  <si>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</si>
  <si>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</si>
  <si>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</si>
  <si>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</si>
  <si>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</si>
  <si>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</si>
  <si>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</si>
  <si>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</si>
  <si>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</si>
  <si>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</si>
  <si>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</si>
  <si>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</si>
  <si>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</si>
  <si>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</si>
  <si>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</si>
  <si>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</si>
  <si>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</si>
  <si>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</si>
  <si>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</si>
  <si>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</si>
  <si>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</si>
  <si>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</si>
  <si>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</si>
  <si>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</si>
  <si>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</si>
  <si>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</si>
  <si>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</si>
  <si>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</si>
  <si>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</si>
  <si>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</si>
  <si>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</si>
  <si>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</si>
  <si>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</si>
  <si>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</si>
  <si>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</si>
  <si>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</si>
  <si>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</si>
  <si>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</si>
  <si>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</si>
  <si>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</si>
  <si>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</si>
  <si>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</si>
  <si>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</si>
  <si>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</si>
  <si>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</si>
  <si>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</si>
  <si>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</si>
  <si>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</si>
  <si>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</si>
  <si>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</si>
  <si>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</si>
  <si>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</si>
  <si>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</si>
  <si>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</si>
  <si>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</si>
  <si>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</si>
  <si>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</si>
  <si>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</si>
  <si>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</si>
  <si>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</si>
  <si>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</si>
  <si>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</si>
  <si>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</si>
  <si>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</si>
  <si>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</si>
  <si>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</si>
  <si>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</si>
  <si>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</si>
  <si>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</si>
  <si>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</si>
  <si>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</si>
  <si>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</si>
  <si>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</si>
  <si>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</si>
  <si>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</si>
  <si>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</si>
  <si>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</si>
  <si>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</si>
  <si>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</si>
  <si>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</si>
  <si>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</si>
  <si>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</si>
  <si>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</si>
  <si>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</si>
  <si>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</si>
  <si>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</si>
  <si>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</si>
  <si>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</si>
  <si>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</si>
  <si>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</si>
  <si>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</si>
  <si>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</si>
  <si>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</si>
  <si>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</si>
  <si>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</si>
  <si>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</si>
  <si>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</si>
  <si>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</si>
  <si>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</si>
  <si>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</si>
  <si>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</si>
  <si>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</si>
  <si>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</si>
  <si>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</si>
  <si>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</si>
  <si>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</si>
  <si>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</si>
  <si>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</si>
  <si>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</si>
  <si>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</si>
  <si>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</si>
  <si>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</si>
  <si>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</si>
  <si>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</si>
  <si>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</si>
  <si>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</si>
  <si>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</si>
  <si>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</si>
  <si>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</si>
  <si>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</si>
  <si>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</si>
  <si>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</si>
  <si>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</si>
  <si>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</si>
  <si>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</si>
  <si>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</si>
  <si>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</si>
  <si>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</si>
  <si>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</si>
  <si>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</si>
  <si>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</si>
  <si>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</si>
  <si>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</si>
  <si>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</si>
  <si>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</si>
  <si>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</si>
  <si>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</si>
  <si>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</si>
  <si>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</si>
  <si>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</si>
  <si>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</si>
  <si>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</si>
  <si>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</si>
  <si>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</si>
  <si>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</si>
  <si>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</si>
  <si>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</si>
  <si>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</si>
  <si>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</si>
  <si>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</si>
  <si>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</si>
  <si>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</si>
  <si>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</si>
  <si>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</si>
  <si>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</si>
  <si>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</si>
  <si>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</si>
  <si>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</si>
  <si>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</si>
  <si>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</si>
  <si>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</si>
  <si>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</si>
  <si>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</si>
  <si>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</si>
  <si>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</si>
  <si>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</si>
  <si>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</si>
  <si>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</si>
  <si>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</si>
  <si>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</si>
  <si>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</si>
  <si>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</si>
  <si>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</si>
  <si>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</si>
  <si>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</si>
  <si>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</si>
  <si>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</si>
  <si>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</si>
  <si>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</si>
  <si>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</si>
  <si>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</si>
  <si>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</si>
  <si>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</si>
  <si>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</si>
  <si>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</si>
  <si>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</si>
  <si>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</si>
  <si>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</si>
  <si>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</si>
  <si>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</si>
  <si>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</si>
  <si>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</si>
  <si>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</si>
  <si>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</si>
  <si>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</si>
  <si>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</si>
  <si>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</si>
  <si>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</si>
  <si>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</si>
  <si>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</si>
  <si>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</si>
  <si>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</si>
  <si>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</si>
  <si>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</si>
  <si>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</si>
  <si>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</si>
  <si>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</si>
  <si>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</si>
  <si>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</si>
  <si>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</si>
  <si>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</si>
  <si>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</si>
  <si>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</si>
  <si>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</si>
  <si>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</si>
  <si>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</si>
  <si>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</si>
  <si>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</si>
  <si>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</si>
  <si>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</si>
  <si>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</si>
  <si>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</si>
  <si>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</si>
  <si>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</si>
  <si>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</si>
  <si>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</si>
  <si>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</si>
  <si>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</si>
  <si>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</si>
  <si>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</si>
  <si>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</si>
  <si>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</si>
  <si>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</si>
  <si>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</si>
  <si>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</si>
  <si>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</si>
  <si>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</si>
  <si>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</si>
  <si>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</si>
  <si>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</si>
  <si>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</si>
  <si>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</si>
  <si>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</si>
  <si>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</si>
  <si>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</si>
  <si>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</si>
  <si>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</si>
  <si>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</si>
  <si>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</si>
  <si>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</si>
  <si>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</si>
  <si>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</si>
  <si>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</si>
  <si>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</si>
  <si>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</si>
  <si>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</si>
  <si>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</si>
  <si>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</si>
  <si>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</si>
  <si>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</si>
  <si>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</si>
  <si>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</si>
  <si>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</si>
  <si>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</si>
  <si>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</si>
  <si>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</si>
  <si>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</si>
  <si>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</si>
  <si>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</si>
  <si>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</si>
  <si>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</si>
  <si>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</si>
  <si>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</si>
  <si>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</si>
  <si>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</si>
  <si>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</si>
  <si>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</si>
  <si>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</si>
  <si>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</si>
  <si>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</si>
  <si>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</si>
  <si>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</si>
  <si>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</si>
  <si>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</si>
  <si>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</si>
  <si>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</si>
  <si>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</si>
  <si>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</si>
  <si>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</si>
  <si>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</si>
  <si>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</si>
  <si>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</si>
  <si>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</si>
  <si>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</si>
  <si>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</si>
  <si>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</si>
  <si>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</si>
  <si>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</si>
  <si>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</si>
  <si>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</si>
  <si>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</si>
  <si>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</si>
  <si>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</si>
  <si>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</si>
  <si>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</si>
  <si>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</si>
  <si>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</si>
  <si>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</si>
  <si>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</si>
  <si>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</si>
  <si>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</si>
  <si>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</si>
  <si>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</si>
  <si>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</si>
  <si>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</si>
  <si>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</si>
  <si>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</si>
  <si>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</si>
  <si>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</si>
  <si>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</si>
  <si>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</si>
  <si>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</si>
  <si>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</si>
  <si>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</si>
  <si>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</si>
  <si>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</si>
  <si>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</si>
  <si>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</si>
  <si>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</si>
  <si>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</si>
  <si>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</si>
  <si>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</si>
  <si>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</si>
  <si>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</si>
  <si>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</si>
  <si>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</si>
  <si>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</si>
  <si>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</si>
  <si>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</si>
  <si>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</si>
  <si>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</si>
  <si>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</si>
  <si>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</si>
  <si>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</si>
  <si>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</si>
  <si>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</si>
  <si>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</si>
  <si>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</si>
  <si>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</si>
  <si>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</si>
  <si>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</si>
  <si>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</si>
  <si>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</si>
  <si>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</si>
  <si>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</si>
  <si>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</si>
  <si>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</si>
  <si>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</si>
  <si>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</si>
  <si>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</si>
  <si>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</si>
  <si>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</si>
  <si>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</si>
  <si>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</si>
  <si>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</si>
  <si>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</si>
  <si>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</si>
  <si>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</si>
  <si>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</si>
  <si>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</si>
  <si>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</si>
  <si>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</si>
  <si>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</si>
  <si>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</si>
  <si>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</si>
  <si>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</si>
  <si>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</si>
  <si>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</si>
  <si>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</si>
  <si>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</si>
  <si>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</si>
  <si>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</si>
  <si>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</si>
  <si>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</si>
  <si>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</si>
  <si>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</si>
  <si>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</si>
  <si>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</si>
  <si>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</si>
  <si>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</si>
  <si>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</si>
  <si>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</si>
  <si>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</si>
  <si>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</si>
  <si>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</si>
  <si>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</si>
  <si>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</si>
  <si>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</si>
  <si>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</si>
  <si>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</si>
  <si>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</si>
  <si>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</si>
  <si>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</si>
  <si>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</si>
  <si>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</si>
  <si>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</si>
  <si>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</si>
  <si>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</si>
  <si>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</si>
  <si>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</si>
  <si>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</si>
  <si>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</si>
  <si>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</si>
  <si>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</si>
  <si>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</si>
  <si>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</si>
  <si>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</si>
  <si>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</si>
  <si>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</si>
  <si>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</si>
  <si>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</si>
  <si>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</si>
  <si>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</si>
  <si>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</si>
  <si>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</si>
  <si>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</si>
  <si>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</si>
  <si>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</si>
  <si>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</si>
  <si>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</si>
  <si>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</si>
  <si>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</si>
  <si>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</si>
  <si>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</si>
  <si>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</si>
  <si>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</si>
  <si>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</si>
  <si>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</si>
  <si>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</si>
  <si>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</si>
  <si>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</si>
  <si>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</si>
  <si>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</si>
  <si>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</si>
  <si>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</si>
  <si>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</si>
  <si>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</si>
  <si>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</si>
  <si>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</si>
  <si>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</si>
  <si>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</si>
  <si>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</si>
  <si>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</si>
  <si>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</si>
  <si>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</si>
  <si>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</si>
  <si>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</si>
  <si>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</si>
  <si>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</si>
  <si>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</si>
  <si>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</si>
  <si>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</si>
  <si>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</si>
  <si>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</si>
  <si>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</si>
  <si>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</si>
  <si>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</si>
  <si>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</si>
  <si>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</si>
  <si>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</si>
  <si>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</si>
  <si>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</si>
  <si>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</si>
  <si>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</si>
  <si>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</si>
  <si>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</si>
  <si>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</si>
  <si>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</si>
  <si>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</si>
  <si>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</si>
  <si>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</si>
  <si>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</si>
  <si>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</si>
  <si>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</si>
  <si>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</si>
  <si>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</si>
  <si>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</si>
  <si>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</si>
  <si>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</si>
  <si>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</si>
  <si>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</si>
  <si>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</si>
  <si>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</si>
  <si>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</si>
  <si>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</si>
  <si>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</si>
  <si>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</si>
  <si>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</si>
  <si>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</si>
  <si>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</si>
  <si>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</si>
  <si>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</si>
  <si>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</si>
  <si>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</si>
  <si>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</si>
  <si>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</si>
  <si>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</si>
  <si>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</si>
  <si>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</si>
  <si>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</si>
  <si>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</si>
  <si>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</si>
  <si>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</si>
  <si>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</si>
  <si>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</si>
  <si>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</si>
  <si>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</si>
  <si>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</si>
  <si>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</si>
  <si>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</si>
  <si>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</si>
  <si>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</si>
  <si>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</si>
  <si>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</si>
  <si>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</si>
  <si>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</si>
  <si>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</si>
  <si>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</si>
  <si>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</si>
  <si>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</si>
  <si>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</si>
  <si>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</si>
  <si>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</si>
  <si>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</si>
  <si>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</si>
  <si>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</si>
  <si>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</si>
  <si>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</si>
  <si>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</si>
  <si>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</si>
  <si>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</si>
  <si>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</si>
  <si>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</si>
  <si>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</si>
  <si>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</si>
  <si>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</si>
  <si>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</si>
  <si>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</si>
  <si>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</si>
  <si>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</si>
  <si>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</si>
  <si>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</si>
  <si>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</si>
  <si>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</si>
  <si>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</si>
  <si>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</si>
  <si>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</si>
  <si>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</si>
  <si>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</si>
  <si>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</si>
  <si>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</si>
  <si>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</si>
  <si>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</si>
  <si>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</si>
  <si>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</si>
  <si>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</si>
  <si>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</si>
  <si>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</si>
  <si>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</si>
  <si>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</si>
  <si>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</si>
  <si>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</si>
  <si>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</si>
  <si>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</si>
  <si>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</si>
  <si>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</si>
  <si>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</si>
  <si>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</si>
  <si>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</si>
  <si>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</si>
  <si>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</si>
  <si>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</si>
  <si>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</si>
  <si>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</si>
  <si>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</si>
  <si>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</si>
  <si>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</si>
  <si>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</si>
  <si>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</si>
  <si>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</si>
  <si>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</si>
  <si>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</si>
  <si>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</si>
  <si>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</si>
  <si>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</si>
  <si>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</si>
  <si>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</si>
  <si>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</si>
  <si>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</si>
  <si>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</si>
  <si>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</si>
  <si>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</si>
  <si>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</si>
  <si>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</si>
  <si>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</si>
  <si>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</si>
  <si>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</si>
  <si>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</si>
  <si>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</si>
  <si>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</si>
  <si>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</si>
  <si>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</si>
  <si>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</si>
  <si>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</si>
  <si>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</si>
  <si>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</si>
  <si>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</si>
  <si>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</si>
  <si>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</si>
  <si>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</si>
  <si>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</si>
  <si>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</si>
  <si>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</si>
  <si>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</si>
  <si>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</si>
  <si>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</si>
  <si>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</si>
  <si>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</si>
  <si>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</si>
  <si>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</si>
  <si>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</si>
  <si>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</si>
  <si>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</si>
  <si>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</si>
  <si>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</si>
  <si>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</si>
  <si>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</si>
  <si>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</si>
  <si>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</si>
  <si>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</si>
  <si>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</si>
  <si>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</si>
  <si>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</si>
  <si>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</si>
  <si>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</si>
  <si>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</si>
  <si>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</si>
  <si>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</si>
  <si>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</si>
  <si>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</si>
  <si>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</si>
  <si>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</si>
  <si>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</si>
  <si>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</si>
  <si>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</si>
  <si>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</si>
  <si>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</si>
  <si>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</si>
  <si>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</si>
  <si>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</si>
  <si>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</si>
  <si>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</si>
  <si>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</si>
  <si>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</si>
  <si>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</si>
  <si>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</si>
  <si>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</si>
  <si>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</si>
  <si>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</si>
  <si>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</si>
  <si>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</si>
  <si>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</si>
  <si>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</si>
  <si>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</si>
  <si>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</si>
  <si>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</si>
  <si>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</si>
  <si>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</si>
  <si>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</si>
  <si>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</si>
  <si>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</si>
  <si>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</si>
  <si>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</si>
  <si>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</si>
  <si>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</si>
  <si>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</si>
  <si>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</si>
  <si>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</si>
  <si>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</si>
  <si>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</si>
  <si>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</si>
  <si>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</si>
  <si>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</si>
  <si>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</si>
  <si>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</si>
  <si>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</si>
  <si>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</si>
  <si>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</si>
  <si>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</si>
  <si>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</si>
  <si>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</si>
  <si>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</si>
  <si>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</si>
  <si>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</si>
  <si>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</si>
  <si>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</si>
  <si>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</si>
  <si>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</si>
  <si>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</si>
  <si>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</si>
  <si>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</si>
  <si>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</si>
  <si>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</si>
  <si>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</si>
  <si>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</si>
  <si>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</si>
  <si>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</si>
  <si>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</si>
  <si>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</si>
  <si>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</si>
  <si>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</si>
  <si>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</si>
  <si>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</si>
  <si>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</si>
  <si>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</si>
  <si>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</si>
  <si>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</si>
  <si>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</si>
  <si>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</si>
  <si>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</si>
  <si>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</si>
  <si>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</si>
  <si>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</si>
  <si>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</si>
  <si>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</si>
  <si>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</si>
  <si>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</si>
  <si>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</si>
  <si>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</si>
  <si>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</si>
  <si>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</si>
  <si>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</si>
  <si>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</si>
  <si>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</si>
  <si>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</si>
  <si>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</si>
  <si>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</si>
  <si>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</si>
  <si>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</si>
  <si>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</si>
  <si>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</si>
  <si>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</si>
  <si>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</si>
  <si>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</si>
  <si>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</si>
  <si>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</si>
  <si>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</si>
  <si>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</si>
  <si>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</si>
  <si>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</si>
  <si>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</si>
  <si>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</si>
  <si>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</si>
  <si>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</si>
  <si>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</si>
  <si>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</si>
  <si>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</si>
  <si>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</si>
  <si>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</si>
  <si>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</si>
  <si>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</si>
  <si>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</si>
  <si>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</si>
  <si>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</si>
  <si>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</si>
  <si>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</si>
  <si>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</si>
  <si>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</si>
  <si>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</si>
  <si>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</si>
  <si>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</si>
  <si>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</si>
  <si>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</si>
  <si>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</si>
  <si>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</si>
  <si>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</si>
  <si>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</si>
  <si>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</si>
  <si>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</si>
  <si>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</si>
  <si>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</si>
  <si>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</si>
  <si>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</si>
  <si>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</si>
  <si>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</si>
  <si>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</si>
  <si>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</si>
  <si>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</si>
  <si>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</si>
  <si>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</si>
  <si>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</si>
  <si>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</si>
  <si>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</si>
  <si>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</si>
  <si>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</si>
  <si>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</si>
  <si>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</si>
  <si>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</si>
  <si>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</si>
  <si>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</si>
  <si>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</si>
  <si>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</si>
  <si>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</si>
  <si>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</si>
  <si>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</si>
  <si>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</si>
  <si>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</si>
  <si>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</si>
  <si>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</si>
  <si>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</si>
  <si>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</si>
  <si>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</si>
  <si>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</si>
  <si>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</si>
  <si>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</si>
  <si>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</si>
  <si>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</si>
  <si>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</si>
  <si>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</si>
  <si>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</si>
  <si>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</si>
  <si>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</si>
  <si>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</si>
  <si>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</si>
  <si>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</si>
  <si>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</si>
  <si>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</si>
  <si>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</si>
  <si>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</si>
  <si>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</si>
  <si>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</si>
  <si>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</si>
  <si>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</si>
  <si>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</si>
  <si>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</si>
  <si>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</si>
  <si>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</si>
  <si>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</si>
  <si>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</si>
  <si>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</si>
  <si>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</si>
  <si>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</si>
  <si>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</si>
  <si>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</si>
  <si>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</si>
  <si>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</si>
  <si>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</si>
  <si>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</si>
  <si>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</si>
  <si>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</si>
  <si>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</si>
  <si>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</si>
  <si>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</si>
  <si>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</si>
  <si>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</si>
  <si>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</si>
  <si>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</si>
  <si>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</si>
  <si>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</si>
  <si>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</si>
  <si>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</si>
  <si>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</si>
  <si>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</si>
  <si>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</si>
  <si>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</si>
  <si>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</si>
  <si>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</si>
  <si>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</si>
  <si>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</si>
  <si>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</si>
  <si>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</si>
  <si>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</si>
  <si>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</si>
  <si>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</si>
  <si>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</si>
  <si>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</si>
  <si>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</si>
  <si>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</si>
  <si>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</si>
  <si>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</si>
  <si>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</si>
  <si>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</si>
  <si>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</si>
  <si>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</si>
  <si>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</si>
  <si>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</si>
  <si>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</si>
  <si>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</si>
  <si>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</si>
  <si>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</si>
  <si>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</si>
  <si>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</si>
  <si>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</si>
  <si>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</si>
  <si>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</si>
  <si>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</si>
  <si>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</si>
  <si>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</si>
  <si>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</si>
  <si>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</si>
  <si>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</si>
  <si>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</si>
  <si>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</si>
  <si>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</si>
  <si>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</si>
  <si>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</si>
  <si>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</si>
  <si>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</si>
  <si>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</si>
  <si>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</si>
  <si>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</si>
  <si>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</si>
  <si>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</si>
  <si>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</si>
  <si>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</si>
  <si>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</si>
  <si>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</si>
  <si>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</si>
  <si>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</si>
  <si>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</si>
  <si>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</si>
  <si>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</si>
  <si>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</si>
  <si>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</si>
  <si>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</si>
  <si>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</si>
  <si>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</si>
  <si>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</si>
  <si>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</si>
  <si>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</si>
  <si>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</si>
  <si>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</si>
  <si>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</si>
  <si>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</si>
  <si>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</si>
  <si>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</si>
  <si>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</si>
  <si>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</si>
  <si>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</si>
  <si>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</si>
  <si>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</si>
  <si>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</si>
  <si>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</si>
  <si>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</si>
  <si>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</si>
  <si>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</si>
  <si>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</si>
  <si>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</si>
  <si>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</si>
  <si>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</si>
  <si>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</si>
  <si>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</si>
  <si>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</si>
  <si>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</si>
  <si>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</si>
  <si>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</si>
  <si>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</si>
  <si>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</si>
  <si>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</si>
  <si>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</si>
  <si>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</si>
  <si>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</si>
  <si>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</si>
  <si>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</si>
  <si>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</si>
  <si>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</si>
  <si>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</si>
  <si>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</si>
  <si>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</si>
  <si>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</si>
  <si>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</si>
  <si>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</si>
  <si>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</si>
  <si>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</si>
  <si>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</si>
  <si>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</si>
  <si>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</si>
  <si>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</si>
  <si>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</si>
  <si>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</si>
  <si>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</si>
  <si>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</si>
  <si>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</si>
  <si>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</si>
  <si>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</si>
  <si>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</si>
  <si>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</si>
  <si>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</si>
  <si>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</si>
  <si>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</si>
  <si>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</si>
  <si>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</si>
  <si>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</si>
  <si>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</si>
  <si>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</si>
  <si>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</si>
  <si>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</si>
  <si>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</si>
  <si>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</si>
  <si>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</si>
  <si>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</si>
  <si>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</si>
  <si>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</si>
  <si>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</si>
  <si>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</si>
  <si>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</si>
  <si>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</si>
  <si>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</si>
  <si>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</si>
  <si>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</si>
  <si>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</si>
  <si>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</si>
  <si>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</si>
  <si>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</si>
  <si>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</si>
  <si>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</si>
  <si>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</si>
  <si>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</si>
  <si>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</si>
  <si>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</si>
  <si>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</si>
  <si>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</si>
  <si>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</si>
  <si>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</si>
  <si>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</si>
  <si>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</si>
  <si>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</si>
  <si>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</si>
  <si>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</si>
  <si>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</si>
  <si>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</si>
  <si>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</si>
  <si>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</si>
  <si>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</si>
  <si>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</si>
  <si>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</si>
  <si>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</si>
  <si>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</si>
  <si>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</si>
  <si>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</si>
  <si>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</si>
  <si>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</si>
  <si>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</si>
  <si>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</si>
  <si>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</si>
  <si>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</si>
  <si>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</si>
  <si>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</si>
  <si>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</si>
  <si>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</si>
  <si>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</si>
  <si>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</si>
  <si>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</si>
  <si>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</si>
  <si>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</si>
  <si>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</si>
  <si>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</si>
  <si>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</si>
  <si>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</si>
  <si>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</si>
  <si>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</si>
  <si>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</si>
  <si>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</si>
  <si>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</si>
  <si>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</si>
  <si>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</si>
  <si>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</si>
  <si>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</si>
  <si>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</si>
  <si>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</si>
  <si>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</si>
  <si>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</si>
  <si>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</si>
  <si>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</si>
  <si>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</si>
  <si>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</si>
  <si>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</si>
  <si>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</si>
  <si>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</si>
  <si>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</si>
  <si>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</si>
  <si>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</si>
  <si>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</si>
  <si>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</si>
  <si>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</si>
  <si>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</si>
  <si>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</si>
  <si>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</si>
  <si>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</si>
  <si>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</si>
  <si>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</si>
  <si>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</si>
  <si>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</si>
  <si>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</si>
  <si>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</si>
  <si>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</si>
  <si>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</si>
  <si>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</si>
  <si>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</si>
  <si>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</si>
  <si>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</si>
  <si>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</si>
  <si>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</si>
  <si>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</si>
  <si>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</si>
  <si>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</si>
  <si>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</si>
  <si>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</si>
  <si>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</si>
  <si>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</si>
  <si>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</si>
  <si>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</si>
  <si>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</si>
  <si>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</si>
  <si>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</si>
  <si>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</si>
  <si>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</si>
  <si>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</si>
  <si>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</si>
  <si>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</si>
  <si>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</si>
  <si>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</si>
  <si>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</si>
  <si>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</si>
  <si>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</si>
  <si>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</si>
  <si>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</si>
  <si>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</si>
  <si>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</si>
  <si>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</si>
  <si>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</si>
  <si>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</si>
  <si>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</si>
  <si>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</si>
  <si>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</si>
  <si>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</si>
  <si>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</si>
  <si>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</si>
  <si>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</si>
  <si>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</si>
  <si>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</si>
  <si>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</si>
  <si>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</si>
  <si>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</si>
  <si>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</si>
  <si>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</si>
  <si>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</si>
  <si>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</si>
  <si>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</si>
  <si>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</si>
  <si>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</si>
  <si>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</si>
  <si>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</si>
  <si>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</si>
  <si>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</si>
  <si>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</si>
  <si>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</si>
  <si>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</si>
  <si>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</si>
  <si>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</si>
  <si>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</si>
  <si>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</si>
  <si>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</si>
  <si>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</si>
  <si>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</si>
  <si>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</si>
  <si>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</si>
  <si>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</si>
  <si>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</si>
  <si>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</si>
  <si>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</si>
  <si>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</si>
  <si>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</si>
  <si>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</si>
  <si>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</si>
  <si>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</si>
  <si>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</si>
  <si>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</si>
  <si>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</si>
  <si>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</si>
  <si>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</si>
  <si>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</si>
  <si>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</si>
  <si>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</si>
  <si>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</si>
  <si>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</si>
  <si>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</si>
  <si>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</si>
  <si>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</si>
  <si>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</si>
  <si>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</si>
  <si>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</si>
  <si>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</si>
  <si>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</si>
  <si>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</si>
  <si>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</si>
  <si>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</si>
  <si>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</si>
  <si>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</si>
  <si>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</si>
  <si>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</si>
  <si>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</si>
  <si>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</si>
  <si>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</si>
  <si>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</si>
  <si>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</si>
  <si>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</si>
  <si>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</si>
  <si>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</si>
  <si>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</si>
  <si>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</si>
  <si>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</si>
  <si>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</si>
  <si>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</si>
  <si>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</si>
  <si>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</si>
  <si>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</si>
  <si>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</si>
  <si>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</si>
  <si>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</si>
  <si>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</si>
  <si>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</si>
  <si>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</si>
  <si>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</si>
  <si>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</si>
  <si>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</si>
  <si>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</si>
  <si>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</si>
  <si>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</si>
  <si>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</si>
  <si>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</si>
  <si>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</si>
  <si>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</si>
  <si>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</si>
  <si>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</si>
  <si>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</si>
  <si>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</si>
  <si>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</si>
  <si>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</si>
  <si>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</si>
  <si>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</si>
  <si>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</si>
  <si>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</si>
  <si>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</si>
  <si>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</si>
  <si>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</si>
  <si>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</si>
  <si>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</si>
  <si>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</si>
  <si>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</si>
  <si>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</si>
  <si>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</si>
  <si>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</si>
  <si>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</si>
  <si>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</si>
  <si>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</si>
  <si>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</si>
  <si>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</si>
  <si>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</si>
  <si>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</si>
  <si>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</si>
  <si>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</si>
  <si>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</si>
  <si>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</si>
  <si>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</si>
  <si>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</si>
  <si>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</si>
  <si>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</si>
  <si>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</si>
  <si>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</si>
  <si>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</si>
  <si>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</si>
  <si>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</si>
  <si>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</si>
  <si>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</si>
  <si>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</si>
  <si>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</si>
  <si>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</si>
  <si>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</si>
  <si>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</si>
  <si>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</si>
  <si>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</si>
  <si>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</si>
  <si>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</si>
  <si>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</si>
  <si>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</si>
  <si>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</si>
  <si>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</si>
  <si>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</si>
  <si>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</si>
  <si>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</si>
  <si>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</si>
  <si>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</si>
  <si>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</si>
  <si>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</si>
  <si>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</si>
  <si>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</si>
  <si>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</si>
  <si>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</si>
  <si>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</si>
  <si>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</si>
  <si>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</si>
  <si>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</si>
  <si>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</si>
  <si>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</si>
  <si>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</si>
  <si>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</si>
  <si>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</si>
  <si>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</si>
  <si>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</si>
  <si>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</si>
  <si>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</si>
  <si>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</si>
  <si>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</si>
  <si>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</si>
  <si>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</si>
  <si>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</si>
  <si>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</si>
  <si>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</si>
  <si>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</si>
  <si>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</si>
  <si>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</si>
  <si>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</si>
  <si>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</si>
  <si>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</si>
  <si>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</si>
  <si>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</si>
  <si>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</si>
  <si>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</si>
  <si>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</si>
  <si>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</si>
  <si>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</si>
  <si>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</si>
  <si>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</si>
  <si>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</si>
  <si>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</si>
  <si>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</si>
  <si>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</si>
  <si>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</si>
  <si>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</si>
  <si>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</si>
  <si>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</si>
  <si>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</si>
  <si>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</si>
  <si>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</si>
  <si>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</si>
  <si>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</si>
  <si>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</si>
  <si>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</si>
  <si>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</si>
  <si>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</si>
  <si>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</si>
  <si>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</si>
  <si>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</si>
  <si>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</si>
  <si>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</si>
  <si>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</si>
  <si>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</si>
  <si>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</si>
  <si>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</si>
  <si>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</si>
  <si>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</si>
  <si>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</si>
  <si>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</si>
  <si>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</si>
  <si>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</si>
  <si>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</si>
  <si>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</si>
  <si>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</si>
  <si>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</si>
  <si>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</si>
  <si>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</si>
  <si>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</si>
  <si>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</si>
  <si>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</si>
  <si>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</si>
  <si>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</si>
  <si>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</si>
  <si>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</si>
  <si>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</si>
  <si>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</si>
  <si>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</si>
  <si>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</si>
  <si>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</si>
  <si>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</si>
  <si>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</si>
  <si>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</si>
  <si>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</si>
  <si>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</si>
  <si>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</si>
  <si>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</si>
  <si>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</si>
  <si>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</si>
  <si>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</si>
  <si>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</si>
  <si>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</si>
  <si>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</si>
  <si>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</si>
  <si>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</si>
  <si>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</si>
  <si>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</si>
  <si>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</si>
  <si>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</si>
  <si>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</si>
  <si>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</si>
  <si>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</si>
  <si>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</si>
  <si>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</si>
  <si>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</si>
  <si>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</si>
  <si>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</si>
  <si>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</si>
  <si>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</si>
  <si>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</si>
  <si>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</si>
  <si>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</si>
  <si>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</si>
  <si>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</si>
  <si>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</si>
  <si>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</si>
  <si>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</si>
  <si>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</si>
  <si>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</si>
  <si>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</si>
  <si>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</si>
  <si>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</si>
  <si>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</si>
  <si>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</si>
  <si>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</si>
  <si>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</si>
  <si>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</si>
  <si>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</si>
  <si>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</si>
  <si>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</si>
  <si>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</si>
  <si>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</si>
  <si>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</si>
  <si>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</si>
  <si>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</si>
  <si>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</si>
  <si>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</si>
  <si>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</si>
  <si>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</si>
  <si>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</si>
  <si>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</si>
  <si>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</si>
  <si>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</si>
  <si>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</si>
  <si>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</si>
  <si>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</si>
  <si>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</si>
  <si>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</si>
  <si>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</si>
  <si>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</si>
  <si>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</si>
  <si>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</si>
  <si>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</si>
  <si>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</si>
  <si>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</si>
  <si>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</si>
  <si>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</si>
  <si>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</si>
  <si>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</si>
  <si>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</si>
  <si>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</si>
  <si>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</si>
  <si>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</si>
  <si>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</si>
  <si>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</si>
  <si>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</si>
  <si>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</si>
  <si>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</si>
  <si>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</si>
  <si>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</si>
  <si>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</si>
  <si>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</si>
  <si>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</si>
  <si>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</si>
  <si>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</si>
  <si>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</si>
  <si>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</si>
  <si>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</si>
  <si>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</si>
  <si>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</si>
  <si>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</si>
  <si>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</si>
  <si>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</si>
  <si>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</si>
  <si>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</si>
  <si>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</si>
  <si>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</si>
  <si>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</si>
  <si>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</si>
  <si>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</si>
  <si>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</si>
  <si>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</si>
  <si>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</si>
  <si>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</si>
  <si>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</si>
  <si>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</si>
  <si>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</si>
  <si>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</si>
  <si>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</si>
  <si>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</si>
  <si>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</si>
  <si>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</si>
  <si>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</si>
  <si>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</si>
  <si>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</si>
  <si>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</si>
  <si>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</si>
  <si>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</si>
  <si>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</si>
  <si>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</si>
  <si>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</si>
  <si>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</si>
  <si>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</si>
  <si>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</si>
  <si>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</si>
  <si>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</si>
  <si>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</si>
  <si>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</si>
  <si>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</si>
  <si>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</si>
  <si>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</si>
  <si>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</si>
  <si>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</si>
  <si>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</si>
  <si>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</si>
  <si>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</si>
  <si>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</si>
  <si>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</si>
  <si>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</si>
  <si>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</si>
  <si>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</si>
  <si>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</si>
  <si>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</si>
  <si>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</si>
  <si>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</si>
  <si>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</si>
  <si>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</si>
  <si>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</si>
  <si>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</si>
  <si>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</si>
  <si>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</si>
  <si>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</si>
  <si>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</si>
  <si>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</si>
  <si>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</si>
  <si>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</si>
  <si>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</si>
  <si>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</si>
  <si>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</si>
  <si>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</si>
  <si>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</si>
  <si>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</si>
  <si>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</si>
  <si>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</si>
  <si>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</si>
  <si>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</si>
  <si>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</si>
  <si>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</si>
  <si>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</si>
  <si>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</si>
  <si>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</si>
  <si>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</si>
  <si>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</si>
  <si>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</si>
  <si>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</si>
  <si>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</si>
  <si>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</si>
  <si>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</si>
  <si>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</si>
  <si>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</si>
  <si>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</si>
  <si>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</si>
  <si>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</si>
  <si>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</si>
  <si>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</si>
  <si>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</si>
  <si>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</si>
  <si>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</si>
  <si>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</si>
  <si>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</si>
  <si>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</si>
  <si>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</si>
  <si>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</si>
  <si>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</si>
  <si>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</si>
  <si>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</si>
  <si>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</si>
  <si>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</si>
  <si>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</si>
  <si>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</si>
  <si>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</si>
  <si>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</si>
  <si>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</si>
  <si>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</si>
  <si>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</si>
  <si>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</si>
  <si>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</si>
  <si>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</si>
  <si>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</si>
  <si>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</si>
  <si>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</si>
  <si>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</si>
  <si>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</si>
  <si>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</si>
  <si>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</si>
  <si>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</si>
  <si>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</si>
  <si>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</si>
  <si>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</si>
  <si>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</si>
  <si>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</si>
  <si>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</si>
  <si>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</si>
  <si>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</si>
  <si>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</si>
  <si>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</si>
  <si>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</si>
  <si>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</si>
  <si>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</si>
  <si>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</si>
  <si>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</si>
  <si>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</si>
  <si>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</si>
  <si>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</si>
  <si>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</si>
  <si>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</si>
  <si>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</si>
  <si>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</si>
  <si>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</si>
  <si>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</si>
  <si>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</si>
  <si>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</si>
  <si>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</si>
  <si>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</si>
  <si>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</si>
  <si>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</si>
  <si>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</si>
  <si>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</si>
  <si>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</si>
  <si>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</si>
  <si>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</si>
  <si>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</si>
  <si>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</si>
  <si>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</si>
  <si>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</si>
  <si>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</si>
  <si>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</si>
  <si>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</si>
  <si>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</si>
  <si>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</si>
  <si>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</si>
  <si>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</si>
  <si>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</si>
  <si>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</si>
  <si>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</si>
  <si>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</si>
  <si>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</si>
  <si>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</si>
  <si>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</si>
  <si>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</si>
  <si>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</si>
  <si>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</si>
  <si>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</si>
  <si>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</si>
  <si>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</si>
  <si>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</si>
  <si>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</si>
  <si>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</si>
  <si>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</si>
  <si>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</si>
  <si>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</si>
  <si>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</si>
  <si>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</si>
  <si>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</si>
  <si>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</si>
  <si>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</si>
  <si>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</si>
  <si>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</si>
  <si>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</si>
  <si>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</si>
  <si>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</si>
  <si>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</si>
  <si>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</si>
  <si>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</si>
  <si>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</si>
  <si>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</si>
  <si>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</si>
  <si>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</si>
  <si>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</si>
  <si>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</si>
  <si>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</si>
  <si>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</si>
  <si>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</si>
  <si>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</si>
  <si>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</si>
  <si>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</si>
  <si>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</si>
  <si>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</si>
  <si>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</si>
  <si>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</si>
  <si>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</si>
  <si>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</si>
  <si>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</si>
  <si>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</si>
  <si>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</si>
  <si>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</si>
  <si>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</si>
  <si>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</si>
  <si>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</si>
  <si>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</si>
  <si>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</si>
  <si>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</si>
  <si>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</si>
  <si>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</si>
  <si>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</si>
  <si>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</si>
  <si>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</si>
  <si>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</si>
  <si>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</si>
  <si>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</si>
  <si>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</si>
  <si>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</si>
  <si>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</si>
  <si>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</si>
  <si>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</si>
  <si>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</si>
  <si>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</si>
  <si>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</si>
  <si>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</si>
  <si>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</si>
  <si>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</si>
  <si>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</si>
  <si>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</si>
  <si>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</si>
  <si>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</si>
  <si>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</si>
  <si>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</si>
  <si>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</si>
  <si>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</si>
  <si>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</si>
  <si>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</si>
  <si>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</si>
  <si>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</si>
  <si>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</si>
  <si>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</si>
  <si>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</si>
  <si>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</si>
  <si>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</si>
  <si>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</si>
  <si>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</si>
  <si>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</si>
  <si>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</si>
  <si>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</si>
  <si>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</si>
  <si>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</si>
  <si>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</si>
  <si>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</si>
  <si>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</si>
  <si>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</si>
  <si>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</si>
  <si>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</si>
  <si>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</si>
  <si>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</si>
  <si>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</si>
  <si>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</si>
  <si>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</si>
  <si>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</si>
  <si>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</si>
  <si>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</si>
  <si>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</si>
  <si>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</si>
  <si>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</si>
  <si>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</si>
  <si>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</si>
  <si>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</si>
  <si>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</si>
  <si>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</si>
  <si>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</si>
  <si>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</si>
  <si>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</si>
  <si>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</si>
  <si>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</si>
  <si>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</si>
  <si>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</si>
  <si>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</si>
  <si>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</si>
  <si>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</si>
  <si>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</si>
  <si>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</si>
  <si>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</si>
  <si>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</si>
  <si>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</si>
  <si>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</si>
  <si>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</si>
  <si>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</si>
  <si>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</si>
  <si>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</si>
  <si>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</si>
  <si>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</si>
  <si>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</si>
  <si>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</si>
  <si>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</si>
  <si>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</si>
  <si>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</si>
  <si>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</si>
  <si>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</si>
  <si>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</si>
  <si>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</si>
  <si>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</si>
  <si>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</si>
  <si>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</si>
  <si>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</si>
  <si>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</si>
  <si>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</si>
  <si>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</si>
  <si>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</si>
  <si>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</si>
  <si>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</si>
  <si>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</si>
  <si>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</si>
  <si>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</si>
  <si>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</si>
  <si>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</si>
  <si>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</si>
  <si>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</si>
  <si>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</si>
  <si>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</si>
  <si>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</si>
  <si>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</si>
  <si>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</si>
  <si>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</si>
  <si>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</si>
  <si>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</si>
  <si>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</si>
  <si>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</si>
  <si>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</si>
  <si>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</si>
  <si>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</si>
  <si>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</si>
  <si>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</si>
  <si>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</si>
  <si>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</si>
  <si>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</si>
  <si>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</si>
  <si>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</si>
  <si>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</si>
  <si>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</si>
  <si>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</si>
  <si>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</si>
  <si>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</si>
  <si>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</si>
  <si>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</si>
  <si>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</si>
  <si>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</si>
  <si>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</si>
  <si>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</si>
  <si>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</si>
  <si>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</si>
  <si>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</si>
  <si>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</si>
  <si>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</si>
  <si>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</si>
  <si>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</si>
  <si>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</si>
  <si>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</si>
  <si>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</si>
  <si>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</si>
  <si>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</si>
  <si>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</si>
  <si>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</si>
  <si>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</si>
  <si>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</si>
  <si>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</si>
  <si>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</si>
  <si>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</si>
  <si>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</si>
  <si>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</si>
  <si>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</si>
  <si>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</si>
  <si>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</si>
  <si>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</si>
  <si>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</si>
  <si>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</si>
  <si>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</si>
  <si>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</si>
  <si>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</si>
  <si>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</si>
  <si>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</si>
  <si>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</si>
  <si>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</si>
  <si>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</si>
  <si>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</si>
  <si>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</si>
  <si>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</si>
  <si>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</si>
  <si>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</si>
  <si>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</si>
  <si>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</si>
  <si>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</si>
  <si>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</si>
  <si>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</si>
  <si>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</si>
  <si>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</si>
  <si>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</si>
  <si>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</si>
  <si>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</si>
  <si>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</si>
  <si>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</si>
  <si>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</si>
  <si>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</si>
  <si>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</si>
  <si>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</si>
  <si>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</si>
  <si>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</si>
  <si>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</si>
  <si>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</si>
  <si>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</si>
  <si>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</si>
  <si>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</si>
  <si>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</si>
  <si>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</si>
  <si>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</si>
  <si>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</si>
  <si>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</si>
  <si>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</si>
  <si>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</si>
  <si>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</si>
  <si>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</si>
  <si>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</si>
  <si>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</si>
  <si>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</si>
  <si>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</si>
  <si>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</si>
  <si>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</si>
  <si>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</si>
  <si>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</si>
  <si>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</si>
  <si>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</si>
  <si>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</si>
  <si>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</si>
  <si>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</si>
  <si>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</si>
  <si>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</si>
  <si>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</si>
  <si>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</si>
  <si>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</si>
  <si>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</si>
  <si>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</si>
  <si>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</si>
  <si>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</si>
  <si>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</si>
  <si>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</si>
  <si>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</si>
  <si>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</si>
  <si>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</si>
  <si>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</si>
  <si>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</si>
  <si>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</si>
  <si>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</si>
  <si>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</si>
  <si>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</si>
  <si>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</si>
  <si>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</si>
  <si>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</si>
  <si>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</si>
  <si>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</si>
  <si>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</si>
  <si>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</si>
  <si>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</si>
  <si>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</si>
  <si>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</si>
  <si>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</si>
  <si>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</si>
  <si>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</si>
  <si>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</si>
  <si>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</si>
  <si>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</si>
  <si>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</si>
  <si>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</si>
  <si>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</si>
  <si>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</si>
  <si>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</si>
  <si>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</si>
  <si>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</si>
  <si>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</si>
  <si>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</si>
  <si>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</si>
  <si>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</si>
  <si>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</si>
  <si>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</si>
  <si>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</si>
  <si>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</si>
  <si>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</si>
  <si>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</si>
  <si>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</si>
  <si>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</si>
  <si>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</si>
  <si>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</si>
  <si>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</si>
  <si>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</si>
  <si>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</si>
  <si>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</si>
  <si>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</si>
  <si>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</si>
  <si>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</si>
  <si>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</si>
  <si>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</si>
  <si>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</si>
  <si>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</si>
  <si>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</si>
  <si>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</si>
  <si>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</si>
  <si>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</si>
  <si>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</si>
  <si>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</si>
  <si>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</si>
  <si>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</si>
  <si>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</si>
  <si>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</si>
  <si>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</si>
  <si>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</si>
  <si>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</si>
  <si>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</si>
  <si>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</si>
  <si>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</si>
  <si>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</si>
  <si>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</si>
  <si>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</si>
  <si>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</si>
  <si>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</si>
  <si>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</si>
  <si>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</si>
  <si>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</si>
  <si>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</si>
  <si>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</si>
  <si>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</si>
  <si>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</si>
  <si>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</si>
  <si>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</si>
  <si>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</si>
  <si>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</si>
  <si>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</si>
  <si>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</si>
  <si>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</si>
  <si>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</si>
  <si>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</si>
  <si>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</si>
  <si>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</si>
  <si>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</si>
  <si>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</si>
  <si>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</si>
  <si>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</si>
  <si>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</si>
  <si>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</si>
  <si>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</si>
  <si>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</si>
  <si>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</si>
  <si>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</si>
  <si>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</si>
  <si>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</si>
  <si>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</si>
  <si>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</si>
  <si>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</si>
  <si>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</si>
  <si>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</si>
  <si>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</si>
  <si>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</si>
  <si>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</si>
  <si>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</si>
  <si>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</si>
  <si>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</si>
  <si>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</si>
  <si>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</si>
  <si>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</si>
  <si>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</si>
  <si>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</si>
  <si>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</si>
  <si>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</si>
  <si>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</si>
  <si>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</si>
  <si>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</si>
  <si>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</si>
  <si>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</si>
  <si>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</si>
  <si>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</si>
  <si>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</si>
  <si>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</si>
  <si>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</si>
  <si>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</si>
  <si>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</si>
  <si>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</si>
  <si>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</si>
  <si>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</si>
  <si>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</si>
  <si>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</si>
  <si>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</si>
  <si>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</si>
  <si>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</si>
  <si>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</si>
  <si>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</si>
  <si>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</si>
  <si>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</si>
  <si>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</si>
  <si>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</si>
  <si>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</si>
  <si>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</si>
  <si>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</si>
  <si>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</si>
  <si>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</si>
  <si>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</si>
  <si>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</si>
  <si>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</si>
  <si>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</si>
  <si>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</si>
  <si>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</si>
  <si>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</si>
  <si>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</si>
  <si>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</si>
  <si>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</si>
  <si>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</si>
  <si>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</si>
  <si>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</si>
  <si>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</si>
  <si>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</si>
  <si>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</si>
  <si>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</si>
  <si>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</si>
  <si>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</si>
  <si>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</si>
  <si>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</si>
  <si>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</si>
  <si>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</si>
  <si>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</si>
  <si>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</si>
  <si>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</si>
  <si>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</si>
  <si>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</si>
  <si>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</si>
  <si>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</si>
  <si>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</si>
  <si>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</si>
  <si>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</si>
  <si>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</si>
  <si>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</si>
  <si>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</si>
  <si>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</si>
  <si>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</si>
  <si>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</si>
  <si>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</si>
  <si>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</si>
  <si>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</si>
  <si>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</si>
  <si>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</si>
  <si>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</si>
  <si>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</si>
  <si>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</si>
  <si>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</si>
  <si>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</si>
  <si>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</si>
  <si>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</si>
  <si>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</si>
  <si>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</si>
  <si>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</si>
  <si>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</si>
  <si>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</si>
  <si>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</si>
  <si>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</si>
  <si>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</si>
  <si>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</si>
  <si>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</si>
  <si>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</si>
  <si>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</si>
  <si>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</si>
  <si>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</si>
  <si>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</si>
  <si>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</si>
  <si>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</si>
  <si>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</si>
  <si>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</si>
  <si>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</si>
  <si>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</si>
  <si>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</si>
  <si>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</si>
  <si>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</si>
  <si>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</si>
  <si>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</si>
  <si>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</si>
  <si>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</si>
  <si>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</si>
  <si>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</si>
  <si>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</si>
  <si>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</si>
  <si>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</si>
  <si>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</si>
  <si>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</si>
  <si>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</si>
  <si>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</si>
  <si>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</si>
  <si>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</si>
  <si>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</si>
  <si>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</si>
  <si>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</si>
  <si>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</si>
  <si>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</si>
  <si>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</si>
  <si>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</si>
  <si>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</si>
  <si>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</si>
  <si>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</si>
  <si>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</si>
  <si>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</si>
  <si>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</si>
  <si>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</si>
  <si>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</si>
  <si>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</si>
  <si>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</si>
  <si>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</si>
  <si>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</si>
  <si>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</si>
  <si>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</si>
  <si>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</si>
  <si>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</si>
  <si>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</si>
  <si>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</si>
  <si>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</si>
  <si>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</si>
  <si>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</si>
  <si>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</si>
  <si>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</si>
  <si>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</si>
  <si>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</si>
  <si>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</si>
  <si>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</si>
  <si>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</si>
  <si>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</si>
  <si>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</si>
  <si>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</si>
  <si>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</si>
  <si>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</si>
  <si>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</si>
  <si>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</si>
  <si>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</si>
  <si>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</si>
  <si>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</si>
  <si>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</si>
  <si>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</si>
  <si>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</si>
  <si>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</si>
  <si>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</si>
  <si>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</si>
  <si>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</si>
  <si>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</si>
  <si>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</si>
  <si>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</si>
  <si>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</si>
  <si>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</si>
  <si>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</si>
  <si>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</si>
  <si>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</si>
  <si>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</si>
  <si>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</si>
  <si>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</si>
  <si>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</si>
  <si>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</si>
  <si>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</si>
  <si>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</si>
  <si>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</si>
  <si>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</si>
  <si>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</si>
  <si>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</si>
  <si>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</si>
  <si>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</si>
  <si>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</si>
  <si>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</si>
  <si>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</si>
  <si>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</si>
  <si>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</si>
  <si>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</si>
  <si>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</si>
  <si>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</si>
  <si>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</si>
  <si>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</si>
  <si>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</si>
  <si>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</si>
  <si>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</si>
  <si>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</si>
  <si>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</si>
  <si>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</si>
  <si>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</si>
  <si>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</si>
  <si>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</si>
  <si>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</si>
  <si>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</si>
  <si>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</si>
  <si>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</si>
  <si>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</si>
  <si>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</si>
  <si>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</si>
  <si>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</si>
  <si>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</si>
  <si>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</si>
  <si>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</si>
  <si>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</si>
  <si>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</si>
  <si>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</si>
  <si>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</si>
  <si>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</si>
  <si>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</si>
  <si>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</si>
  <si>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</si>
  <si>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</si>
  <si>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</si>
  <si>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</si>
  <si>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</si>
  <si>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</si>
  <si>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</si>
  <si>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</si>
  <si>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</si>
  <si>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</si>
  <si>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</si>
  <si>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</si>
  <si>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</si>
  <si>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</si>
  <si>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</si>
  <si>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</si>
  <si>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</si>
  <si>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</si>
  <si>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</si>
  <si>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</si>
  <si>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</si>
  <si>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</si>
  <si>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</si>
  <si>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</si>
  <si>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</si>
  <si>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</si>
  <si>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</si>
  <si>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</si>
  <si>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</si>
  <si>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</si>
  <si>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</si>
  <si>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</si>
  <si>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</si>
  <si>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</si>
  <si>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</si>
  <si>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</si>
  <si>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</si>
  <si>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</si>
  <si>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</si>
  <si>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</si>
  <si>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</si>
  <si>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</si>
  <si>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</si>
  <si>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</si>
  <si>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</si>
  <si>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</si>
  <si>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</si>
  <si>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</si>
  <si>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</si>
  <si>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</si>
  <si>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</si>
  <si>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</si>
  <si>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</si>
  <si>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</si>
  <si>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</si>
  <si>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</si>
  <si>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</si>
  <si>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</si>
  <si>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</si>
  <si>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</si>
  <si>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</si>
  <si>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</si>
  <si>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</si>
  <si>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</si>
  <si>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</si>
  <si>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</si>
  <si>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</si>
  <si>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</si>
  <si>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</si>
  <si>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</si>
  <si>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</si>
  <si>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</si>
  <si>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</si>
  <si>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</si>
  <si>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</si>
  <si>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</si>
  <si>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</si>
  <si>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</si>
  <si>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</si>
  <si>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</si>
  <si>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</si>
  <si>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</si>
  <si>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</si>
  <si>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</si>
  <si>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</si>
  <si>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</si>
  <si>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</si>
  <si>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</si>
  <si>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</si>
  <si>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</si>
  <si>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</si>
  <si>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</si>
  <si>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</si>
  <si>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</si>
  <si>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</si>
  <si>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</si>
  <si>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</si>
  <si>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</si>
  <si>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</si>
  <si>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</si>
  <si>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</si>
  <si>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</si>
  <si>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</si>
  <si>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</si>
  <si>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</si>
  <si>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</si>
  <si>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</si>
  <si>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</si>
  <si>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</si>
  <si>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</si>
  <si>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</si>
  <si>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</si>
  <si>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</si>
  <si>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</si>
  <si>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</si>
  <si>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</si>
  <si>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</si>
  <si>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</si>
  <si>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</si>
  <si>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</si>
  <si>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</si>
  <si>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</si>
  <si>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</si>
  <si>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</si>
  <si>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</si>
  <si>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</si>
  <si>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</si>
  <si>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</si>
  <si>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</si>
  <si>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</si>
  <si>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</si>
  <si>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</si>
  <si>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</si>
  <si>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</si>
  <si>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</si>
  <si>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</si>
  <si>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</si>
  <si>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</si>
  <si>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</si>
  <si>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</si>
  <si>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</si>
  <si>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</si>
  <si>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</si>
  <si>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</si>
  <si>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</si>
  <si>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</si>
  <si>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</si>
  <si>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</si>
  <si>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</si>
  <si>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</si>
  <si>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</si>
  <si>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</si>
  <si>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</si>
  <si>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</si>
  <si>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</si>
  <si>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</si>
  <si>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</si>
  <si>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</si>
  <si>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</si>
  <si>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</si>
  <si>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</si>
  <si>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</si>
  <si>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</si>
  <si>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</si>
  <si>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</si>
  <si>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</si>
  <si>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</si>
  <si>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</si>
  <si>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</si>
  <si>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</si>
  <si>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</si>
  <si>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</si>
  <si>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</si>
  <si>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</si>
  <si>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</si>
  <si>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</si>
  <si>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</si>
  <si>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</si>
  <si>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</si>
  <si>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</si>
  <si>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</si>
  <si>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</si>
  <si>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</si>
  <si>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</si>
  <si>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</si>
  <si>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</si>
  <si>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</si>
  <si>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</si>
  <si>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</si>
  <si>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</si>
  <si>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</si>
  <si>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</si>
  <si>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</si>
  <si>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</si>
  <si>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</si>
  <si>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</si>
  <si>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</si>
  <si>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</si>
  <si>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</si>
  <si>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</si>
  <si>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</si>
  <si>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</si>
  <si>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</si>
  <si>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</si>
  <si>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</si>
  <si>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</si>
  <si>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</si>
  <si>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</si>
  <si>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</si>
  <si>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</si>
  <si>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</si>
  <si>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广西自治区</t>
    <phoneticPr fontId="6" type="noConversion"/>
  </si>
  <si>
    <t>企业</t>
  </si>
  <si>
    <t>出让</t>
  </si>
  <si>
    <t>地上</t>
  </si>
  <si>
    <t>住宅</t>
  </si>
  <si>
    <t>普通住宅</t>
  </si>
  <si>
    <t>底商</t>
  </si>
  <si>
    <t>是</t>
  </si>
  <si>
    <t>住宅</t>
    <phoneticPr fontId="7" type="noConversion"/>
  </si>
  <si>
    <t>总土地</t>
    <phoneticPr fontId="3" type="noConversion"/>
  </si>
  <si>
    <t>总地上建筑</t>
    <phoneticPr fontId="3" type="noConversion"/>
  </si>
  <si>
    <t>1层商业</t>
  </si>
  <si>
    <t>1层商业</t>
    <phoneticPr fontId="7" type="noConversion"/>
  </si>
  <si>
    <t>1拖2商业</t>
  </si>
  <si>
    <t>1拖2商业</t>
    <phoneticPr fontId="7" type="noConversion"/>
  </si>
  <si>
    <t>未包含在土地购买价格中</t>
  </si>
  <si>
    <t>全部缴纳</t>
  </si>
  <si>
    <t>已包含在土地取得成本中</t>
  </si>
  <si>
    <t>叠彩区</t>
  </si>
  <si>
    <t>叠彩区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</si>
  <si>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</si>
  <si>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</si>
  <si>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</si>
  <si>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</si>
  <si>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</si>
  <si>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</si>
  <si>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</si>
  <si>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</si>
  <si>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</si>
  <si>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</si>
  <si>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</si>
  <si>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</si>
  <si>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</si>
  <si>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</si>
  <si>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</si>
  <si>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</si>
  <si>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</si>
  <si>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</si>
  <si>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</si>
  <si>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</si>
  <si>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</si>
  <si>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</si>
  <si>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</si>
  <si>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</si>
  <si>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</si>
  <si>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</si>
  <si>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</si>
  <si>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</si>
  <si>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</si>
  <si>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</si>
  <si>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</si>
  <si>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</si>
  <si>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</si>
  <si>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</si>
  <si>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</si>
  <si>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</si>
  <si>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</si>
  <si>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</si>
  <si>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</si>
  <si>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</si>
  <si>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</si>
  <si>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</si>
  <si>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</si>
  <si>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</si>
  <si>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奥园南路与规划道路交叉口</t>
  </si>
  <si>
    <t>桂林市</t>
  </si>
  <si>
    <t>住宅用地</t>
  </si>
  <si>
    <t>临桂县</t>
  </si>
  <si>
    <t>挂牌</t>
  </si>
  <si>
    <t>中低价位、中小套型普通商品住房用地</t>
  </si>
  <si>
    <t>大于或等于1并且小于或等于4.5</t>
  </si>
  <si>
    <t>小于或等于40</t>
  </si>
  <si>
    <t>小于或等于100</t>
  </si>
  <si>
    <t>未开工</t>
  </si>
  <si>
    <t>2018-04-17</t>
  </si>
  <si>
    <t>2018-05-07</t>
  </si>
  <si>
    <t>2018-05-17</t>
  </si>
  <si>
    <t>临国土告字[2018]2号</t>
  </si>
  <si>
    <t>已成交</t>
  </si>
  <si>
    <t>桂林瀚弘房地产开发有限公司</t>
  </si>
  <si>
    <t>70年</t>
  </si>
  <si>
    <t>平安路以南、洋田路以北、平桂路以西</t>
  </si>
  <si>
    <t>大于或等于1并且小于或等于2.5</t>
  </si>
  <si>
    <t>小于或等于30</t>
  </si>
  <si>
    <t>小于或等于80</t>
  </si>
  <si>
    <t>桂林彰泰实业集团有限公司</t>
  </si>
  <si>
    <t>七星区三联村委小村和屏风村委彭家岭、黄莺岩</t>
  </si>
  <si>
    <t>综合用地(含住宅)</t>
  </si>
  <si>
    <t>七星区</t>
  </si>
  <si>
    <t>招标</t>
  </si>
  <si>
    <t>GJ201806</t>
  </si>
  <si>
    <t>二类居住用地兼容商业</t>
  </si>
  <si>
    <t>≥1且≤2</t>
  </si>
  <si>
    <t>2018-03-13</t>
  </si>
  <si>
    <t>2018-03-22</t>
  </si>
  <si>
    <t>2018-04-03</t>
  </si>
  <si>
    <t>桂林公共土出告字[2018]6号</t>
  </si>
  <si>
    <t>广西兴进实业集团有限责任公司</t>
  </si>
  <si>
    <t>住宅70年,商业40年</t>
  </si>
  <si>
    <t>东安街以北,红岭路以西</t>
  </si>
  <si>
    <t>象山区</t>
  </si>
  <si>
    <t>GJ201801</t>
  </si>
  <si>
    <t>其他普通商品住房用地</t>
  </si>
  <si>
    <t>≥1且≤2.84</t>
  </si>
  <si>
    <t>等于30</t>
  </si>
  <si>
    <t>2018-01-15</t>
  </si>
  <si>
    <t>2018-02-02</t>
  </si>
  <si>
    <t>2018-02-12</t>
  </si>
  <si>
    <t>桂林公共土出告字[2018]1号</t>
  </si>
  <si>
    <t>桂林力港网络科技股份有限公司</t>
  </si>
  <si>
    <t>东二环路南侧,规划芳华路北侧,漓江西侧</t>
  </si>
  <si>
    <t>秀峰区</t>
  </si>
  <si>
    <t>拍卖</t>
  </si>
  <si>
    <t>GJ201804</t>
  </si>
  <si>
    <t>≥1且≤1.8</t>
  </si>
  <si>
    <t>等于35</t>
  </si>
  <si>
    <t>≥18且≤24</t>
  </si>
  <si>
    <t>2018-01-18</t>
  </si>
  <si>
    <t>2018-02-09</t>
  </si>
  <si>
    <t>桂林公共土出告字[2018]4号</t>
  </si>
  <si>
    <t>广西盛享碧桂园地产有限公司</t>
  </si>
  <si>
    <t>杉景路以北、三元路以西</t>
  </si>
  <si>
    <t>2017-12-08</t>
  </si>
  <si>
    <t>2017-12-28</t>
  </si>
  <si>
    <t>2018-01-09</t>
  </si>
  <si>
    <t>临国土告字[2017]14号</t>
  </si>
  <si>
    <t>万平路以北、规划道路以西、兰塘西路以南</t>
  </si>
  <si>
    <t>联发集团桂林益联盛置业有限公司</t>
  </si>
  <si>
    <t>万平路以北、兴桂路以东、兰塘西路以南</t>
  </si>
  <si>
    <t>兰塘河以南、检察官学院桂林分院西侧</t>
  </si>
  <si>
    <t>大于或等于1并且小于或等于2.6</t>
  </si>
  <si>
    <t>小于或等于35</t>
  </si>
  <si>
    <t>2017-11-18</t>
  </si>
  <si>
    <t>2017-12-19</t>
  </si>
  <si>
    <t>临国土告字[2017]11号</t>
  </si>
  <si>
    <t>新城控股集团房地产开发有限公司</t>
  </si>
  <si>
    <t>翻山底路以东、山水南路以北、人和路以西</t>
  </si>
  <si>
    <t>小于或等于60</t>
  </si>
  <si>
    <t>临国土告字[2017]12号</t>
  </si>
  <si>
    <t>桂林国奥凤凰国际投资有限公司</t>
  </si>
  <si>
    <t>金穗路西侧方元盛景旁</t>
  </si>
  <si>
    <t>大于或等于1并且小于或等于1.8</t>
  </si>
  <si>
    <t>2017-09-30</t>
  </si>
  <si>
    <t>2017-10-20</t>
  </si>
  <si>
    <t>2017-10-31</t>
  </si>
  <si>
    <t>临国土告字[2017]10号</t>
  </si>
  <si>
    <t>桂林市七星房地产开发公司</t>
  </si>
  <si>
    <t>人民路延长线西侧</t>
  </si>
  <si>
    <t>大于或等于1并且小于或等于5.2</t>
  </si>
  <si>
    <t>小于或等于45</t>
  </si>
  <si>
    <t>2017-09-27</t>
  </si>
  <si>
    <t>2017-10-17</t>
  </si>
  <si>
    <t>2017-10-26</t>
  </si>
  <si>
    <t>临国土告字[2017]9号</t>
  </si>
  <si>
    <t>广西桂林金伟实业有限公司</t>
  </si>
  <si>
    <t>西临骆驼变电站、东南临鸡公山、北侧临两江四湖二期的桂林市冶金机械总厂厂区宗地图用地红线范围</t>
  </si>
  <si>
    <t>GJ201710</t>
  </si>
  <si>
    <t>商业用地、二类居住用地</t>
  </si>
  <si>
    <t>＞1且≤1.9</t>
  </si>
  <si>
    <t>≤40</t>
  </si>
  <si>
    <t>开工中</t>
  </si>
  <si>
    <t>2017-09-07</t>
  </si>
  <si>
    <t>2017-09-28</t>
  </si>
  <si>
    <t>桂林公共土出告字[2017]10号</t>
  </si>
  <si>
    <t>广西荣和企业集团有限责任公司</t>
  </si>
  <si>
    <t>临滨路以东、康宁路以南、洋田路以北</t>
  </si>
  <si>
    <t>大于或等于1并且小于或等于2</t>
  </si>
  <si>
    <t>2017-08-10</t>
  </si>
  <si>
    <t>2017-08-30</t>
  </si>
  <si>
    <t>2017-09-08</t>
  </si>
  <si>
    <t>临国土告字[2017]8号</t>
  </si>
  <si>
    <t>凤凰路以西、康宁路以南、洋田路以北</t>
  </si>
  <si>
    <t>临滨路以东、凤凰路以西、洋田路以南</t>
  </si>
  <si>
    <t>兰塘东路以北、临滨路以东</t>
  </si>
  <si>
    <t>漓江路南北两侧、小东江东西两侧</t>
  </si>
  <si>
    <t>GJ201709</t>
  </si>
  <si>
    <t>≤1.75</t>
  </si>
  <si>
    <t>2017-05-27</t>
  </si>
  <si>
    <t>2017-06-06</t>
  </si>
  <si>
    <t>2017-06-15</t>
  </si>
  <si>
    <t>桂林公共土出告字[2017]9号</t>
  </si>
  <si>
    <t>桂林市日兴置业有限公司</t>
  </si>
  <si>
    <t>50年</t>
  </si>
  <si>
    <t>位于站前路以北,春江路以东,漓江以西</t>
  </si>
  <si>
    <t>GJ201702</t>
  </si>
  <si>
    <t>商业兼容居住用地</t>
  </si>
  <si>
    <t>≤4.8</t>
  </si>
  <si>
    <t>≥50%</t>
  </si>
  <si>
    <t>等于35%</t>
  </si>
  <si>
    <t>等于45米</t>
  </si>
  <si>
    <t>2017-02-16</t>
  </si>
  <si>
    <t>2017-03-08</t>
  </si>
  <si>
    <t>2017-03-20</t>
  </si>
  <si>
    <t>桂林公共土出告字[2017]2号</t>
  </si>
  <si>
    <t>商业40年、住宅70年</t>
  </si>
  <si>
    <t>桂林市桂磨公路北侧</t>
  </si>
  <si>
    <t>GX-P17</t>
  </si>
  <si>
    <t>≤2.5</t>
  </si>
  <si>
    <t>≥51%</t>
  </si>
  <si>
    <t>≤40%</t>
  </si>
  <si>
    <t>≤34米</t>
  </si>
  <si>
    <t>2017-01-26</t>
  </si>
  <si>
    <t>2017-02-15</t>
  </si>
  <si>
    <t>2017-02-24</t>
  </si>
  <si>
    <t>桂林土出新告字[2017]2号</t>
  </si>
  <si>
    <t>桂林市宝亨通置业有限公司</t>
  </si>
  <si>
    <t>商业40年,住宅70年</t>
  </si>
  <si>
    <t>市七星区朝阳路</t>
  </si>
  <si>
    <t>GX-P13</t>
  </si>
  <si>
    <t>二类居住用地兼容商业用地</t>
  </si>
  <si>
    <t>≥1且＜4.2</t>
  </si>
  <si>
    <t>≤30%</t>
  </si>
  <si>
    <t>≤45米</t>
  </si>
  <si>
    <t>2016-11-02</t>
  </si>
  <si>
    <t>2016-11-22</t>
  </si>
  <si>
    <t>2016-12-01</t>
  </si>
  <si>
    <t>桂林土出新告字[2016]4号</t>
  </si>
  <si>
    <t>桂林铭宇置业投资有限公司</t>
  </si>
  <si>
    <t>居住70年,商业40年</t>
  </si>
  <si>
    <t>桂林市环城南一路</t>
  </si>
  <si>
    <t>GX-P12</t>
  </si>
  <si>
    <t>二类居住用地(R2)兼容商业用地</t>
  </si>
  <si>
    <t>≥1且≤3.3</t>
  </si>
  <si>
    <t>≤35%</t>
  </si>
  <si>
    <t>≤50米</t>
  </si>
  <si>
    <t>2016-09-29</t>
  </si>
  <si>
    <t>2016-10-19</t>
  </si>
  <si>
    <t>2016-10-28</t>
  </si>
  <si>
    <t>桂林土出新告字[2016]3号</t>
  </si>
  <si>
    <t>桂林祺昌置业发展有限公司</t>
  </si>
  <si>
    <t>住宅用地70年,商业用地40年</t>
  </si>
  <si>
    <t>桂康路北侧</t>
  </si>
  <si>
    <t>大于或等于1并且小于或等于3</t>
  </si>
  <si>
    <t>小于或等于25</t>
  </si>
  <si>
    <t>2016-08-22</t>
  </si>
  <si>
    <t>2016-09-12</t>
  </si>
  <si>
    <t>2016-09-23</t>
  </si>
  <si>
    <t>临国土告字[2016]6号</t>
  </si>
  <si>
    <t>众阳(桂林)职业有限公司</t>
  </si>
  <si>
    <t>六塘镇中街19号</t>
  </si>
  <si>
    <t>大于或等于1并且小于或等于1.5</t>
  </si>
  <si>
    <t>小于或等于10</t>
  </si>
  <si>
    <t>黄健华</t>
  </si>
  <si>
    <t>临苏路北侧(刘村段)</t>
  </si>
  <si>
    <t>大于或等于1并且小于或等于4</t>
  </si>
  <si>
    <t>广西天人泰投资有限公司</t>
  </si>
  <si>
    <t>临桂镇B区24栋3号</t>
  </si>
  <si>
    <t>大于或等于1并且小于或等于7.53</t>
  </si>
  <si>
    <t>2016-05-23</t>
  </si>
  <si>
    <t>2016-06-13</t>
  </si>
  <si>
    <t>2016-06-24</t>
  </si>
  <si>
    <t>临国土告字[2016]2号</t>
  </si>
  <si>
    <t>唐喜付</t>
  </si>
  <si>
    <t>临桂镇B区25栋2号</t>
  </si>
  <si>
    <t>大于或等于1并且小于或等于6.42</t>
  </si>
  <si>
    <t>唐源小</t>
  </si>
  <si>
    <t>临桂镇B区23栋4号</t>
  </si>
  <si>
    <t>临桂镇B区21栋6号</t>
  </si>
  <si>
    <t>环城南一路以南,桂磨路以西</t>
  </si>
  <si>
    <t>QX201601</t>
  </si>
  <si>
    <t>居住用地、商服用地</t>
  </si>
  <si>
    <t>＞1且≤3.3</t>
  </si>
  <si>
    <t>2016-01-24</t>
  </si>
  <si>
    <t>2016-02-14</t>
  </si>
  <si>
    <t>2016-02-26</t>
  </si>
  <si>
    <t>桂林土出告字[2016]1号</t>
  </si>
  <si>
    <t>居住用地70年,商服用地40年</t>
  </si>
  <si>
    <t>站前路以北,春江路以东,漓江以西</t>
  </si>
  <si>
    <t>P104</t>
  </si>
  <si>
    <t>居住兼容商业用地</t>
  </si>
  <si>
    <t>＞1且≤1.8</t>
  </si>
  <si>
    <t>≤24米</t>
  </si>
  <si>
    <t>2015-12-11</t>
  </si>
  <si>
    <t>2015-12-31</t>
  </si>
  <si>
    <t>2016-01-15</t>
  </si>
  <si>
    <t>桂林土出告字[2015]9号</t>
  </si>
  <si>
    <t>恒大地产集团南宁有限公司</t>
  </si>
  <si>
    <t>居住用地70年,商业用地40年</t>
  </si>
  <si>
    <t>临桂镇桂康路北侧</t>
  </si>
  <si>
    <t>大于或等于1并且小于或等于12.9</t>
  </si>
  <si>
    <t>小于或等于55</t>
  </si>
  <si>
    <t>2015-11-26</t>
  </si>
  <si>
    <t>2015-12-15</t>
  </si>
  <si>
    <t>2015-12-24</t>
  </si>
  <si>
    <t>临国土告字[2015]12号</t>
  </si>
  <si>
    <t>桂林临桂桂恒房地产开发有限公司</t>
  </si>
  <si>
    <t>规划九华路以西,规划胜利路三巷以北。</t>
  </si>
  <si>
    <t>P101</t>
  </si>
  <si>
    <t>居住用地</t>
  </si>
  <si>
    <t>≥1,≤2.2</t>
  </si>
  <si>
    <t>≤8%</t>
  </si>
  <si>
    <t>已完工</t>
  </si>
  <si>
    <t>2015-07-28</t>
  </si>
  <si>
    <t>2015-08-18</t>
  </si>
  <si>
    <t>2015-09-02</t>
  </si>
  <si>
    <t>桂林土出告字[2015]6号</t>
  </si>
  <si>
    <t>桂林广汇实业投资有限责任公司</t>
  </si>
  <si>
    <t>环西路延长线东、秧一路西延长线南</t>
  </si>
  <si>
    <t>2015-07-03</t>
  </si>
  <si>
    <t>2015-07-23</t>
  </si>
  <si>
    <t>2015-08-03</t>
  </si>
  <si>
    <t>临国土告字[2015]9号</t>
  </si>
  <si>
    <t>桂林海吉星农产品集团有限公司</t>
  </si>
  <si>
    <t>临政路龙山巷</t>
  </si>
  <si>
    <t>大于或等于1并且小于或等于2.2</t>
  </si>
  <si>
    <t>小于或等于28</t>
  </si>
  <si>
    <t>陈湘东</t>
  </si>
  <si>
    <t>秧一路西延长线南、星运路西</t>
  </si>
  <si>
    <t>秧一路西延长线南、星运路东</t>
  </si>
  <si>
    <t>万北路南侧、新中路延长线西侧</t>
  </si>
  <si>
    <t>桂林金宸房地产开发有限公司</t>
  </si>
  <si>
    <t>阳家山以北,规划阳江北路以西。</t>
  </si>
  <si>
    <t>P099</t>
  </si>
  <si>
    <t>＞1,≤2.2</t>
  </si>
  <si>
    <t>2015-05-26</t>
  </si>
  <si>
    <t>2015-06-15</t>
  </si>
  <si>
    <t>2015-06-30</t>
  </si>
  <si>
    <t>桂林土出告字[2015]3号</t>
  </si>
  <si>
    <t>地面单价</t>
    <phoneticPr fontId="143" type="noConversion"/>
  </si>
  <si>
    <r>
      <t>67.8</t>
    </r>
    <r>
      <rPr>
        <sz val="11"/>
        <color indexed="8"/>
        <rFont val="宋体"/>
        <family val="3"/>
        <charset val="134"/>
      </rPr>
      <t>、</t>
    </r>
    <r>
      <rPr>
        <sz val="11"/>
        <color indexed="8"/>
        <rFont val="Arial"/>
        <family val="2"/>
      </rPr>
      <t>37.8</t>
    </r>
    <phoneticPr fontId="31" type="noConversion"/>
  </si>
  <si>
    <t>70</t>
    <phoneticPr fontId="31" type="noConversion"/>
  </si>
  <si>
    <t>较好</t>
  </si>
  <si>
    <t>一般</t>
  </si>
  <si>
    <t>六通</t>
  </si>
  <si>
    <t>规则</t>
    <phoneticPr fontId="31" type="noConversion"/>
  </si>
  <si>
    <t>较规则</t>
  </si>
  <si>
    <t>较规则</t>
    <phoneticPr fontId="31" type="noConversion"/>
  </si>
  <si>
    <t>较不规则</t>
    <phoneticPr fontId="31" type="noConversion"/>
  </si>
  <si>
    <t>不规则</t>
    <phoneticPr fontId="31" type="noConversion"/>
  </si>
  <si>
    <t>比例适宜</t>
  </si>
  <si>
    <t>比例适宜</t>
    <phoneticPr fontId="31" type="noConversion"/>
  </si>
  <si>
    <t>较好</t>
    <phoneticPr fontId="31" type="noConversion"/>
  </si>
  <si>
    <t>三通</t>
  </si>
  <si>
    <t>恒大江湾</t>
    <phoneticPr fontId="3" type="noConversion"/>
  </si>
  <si>
    <t>叠彩区</t>
    <phoneticPr fontId="3" type="noConversion"/>
  </si>
  <si>
    <t>60-70（含）</t>
  </si>
  <si>
    <t>住宅</t>
    <phoneticPr fontId="25" type="noConversion"/>
  </si>
  <si>
    <t>七星区</t>
    <phoneticPr fontId="3" type="noConversion"/>
  </si>
  <si>
    <t>秀峰区</t>
    <phoneticPr fontId="3" type="noConversion"/>
  </si>
  <si>
    <t>洋房</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</si>
  <si>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</si>
  <si>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</si>
  <si>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</si>
  <si>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</si>
  <si>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</si>
  <si>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</si>
  <si>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</si>
  <si>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</si>
  <si>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</si>
  <si>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</si>
  <si>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</si>
  <si>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</si>
  <si>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</si>
  <si>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</si>
  <si>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</si>
  <si>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</si>
  <si>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</si>
  <si>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</si>
  <si>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</si>
  <si>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</si>
  <si>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</si>
  <si>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钢混</t>
  </si>
  <si>
    <t>精装修</t>
  </si>
  <si>
    <t>平层</t>
  </si>
  <si>
    <t>毛坯</t>
  </si>
  <si>
    <t>收益法-商业（1层）</t>
  </si>
  <si>
    <t>收益法-商业（1层）</t>
    <phoneticPr fontId="16" type="noConversion"/>
  </si>
  <si>
    <t>在建（套用方法）</t>
  </si>
  <si>
    <t>押一</t>
  </si>
  <si>
    <t>按租金收入计税</t>
  </si>
  <si>
    <t>钢</t>
  </si>
  <si>
    <t>非生产用房</t>
  </si>
  <si>
    <t>收益法-商业1拖2</t>
  </si>
  <si>
    <t>收益法-商业1拖2</t>
    <phoneticPr fontId="16" type="noConversion"/>
  </si>
  <si>
    <t>已全部缴纳</t>
  </si>
  <si>
    <t>成本法</t>
  </si>
  <si>
    <t>假设开发法</t>
  </si>
  <si>
    <t>成本比率</t>
  </si>
  <si>
    <t>叠彩区站前路以北、春江路以东、漓江以西</t>
    <phoneticPr fontId="6" type="noConversion"/>
  </si>
  <si>
    <t>多层</t>
  </si>
  <si>
    <t>多层</t>
    <phoneticPr fontId="3" type="noConversion"/>
  </si>
  <si>
    <t>楼面地价</t>
  </si>
  <si>
    <t>2018-1-0619-P01DYGJ1</t>
    <phoneticPr fontId="6" type="noConversion"/>
  </si>
  <si>
    <t>桂林恒大房地产有限公司</t>
    <phoneticPr fontId="6" type="noConversion"/>
  </si>
  <si>
    <t>中粮信托</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</si>
  <si>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桂（</t>
    </r>
    <r>
      <rPr>
        <sz val="12"/>
        <color theme="9" tint="-0.249977111117893"/>
        <rFont val="Arial"/>
        <family val="2"/>
      </rPr>
      <t>2016</t>
    </r>
    <r>
      <rPr>
        <sz val="12"/>
        <color theme="9" tint="-0.249977111117893"/>
        <rFont val="宋体"/>
        <family val="3"/>
        <charset val="134"/>
      </rPr>
      <t>）桂林市不动产权第</t>
    </r>
    <r>
      <rPr>
        <sz val="12"/>
        <color theme="9" tint="-0.249977111117893"/>
        <rFont val="Arial"/>
        <family val="2"/>
      </rPr>
      <t>0000009</t>
    </r>
    <r>
      <rPr>
        <sz val="12"/>
        <color theme="9" tint="-0.249977111117893"/>
        <rFont val="宋体"/>
        <family val="3"/>
        <charset val="134"/>
      </rPr>
      <t>号</t>
    </r>
    <r>
      <rPr>
        <sz val="12"/>
        <color theme="9" tint="-0.249977111117893"/>
        <rFont val="Arial"/>
        <family val="2"/>
      </rPr>
      <t>]</t>
    </r>
    <phoneticPr fontId="6" type="noConversion"/>
  </si>
  <si>
    <t>复印件</t>
  </si>
  <si>
    <t>居住项目</t>
  </si>
  <si>
    <t>低密度住宅</t>
  </si>
  <si>
    <t>否</t>
  </si>
  <si>
    <t>在建</t>
  </si>
  <si>
    <t>是</t>
    <phoneticPr fontId="6" type="noConversion"/>
  </si>
  <si>
    <t>通路</t>
  </si>
  <si>
    <t>通电</t>
  </si>
  <si>
    <t>通讯</t>
  </si>
  <si>
    <t>通上水</t>
  </si>
  <si>
    <t>通下水</t>
  </si>
  <si>
    <t>燃气</t>
  </si>
  <si>
    <t>居住</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</si>
  <si>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</si>
  <si>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</si>
  <si>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</si>
  <si>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</si>
  <si>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</si>
  <si>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小高层</t>
  </si>
  <si>
    <t>小高层</t>
    <phoneticPr fontId="25" type="noConversion"/>
  </si>
  <si>
    <t>好</t>
  </si>
  <si>
    <t>叠彩区</t>
    <phoneticPr fontId="3" type="noConversion"/>
  </si>
  <si>
    <t>桂林国奥城</t>
    <phoneticPr fontId="25" type="noConversion"/>
  </si>
  <si>
    <t>复式</t>
    <phoneticPr fontId="3" type="noConversion"/>
  </si>
  <si>
    <t>彰泰桃源居</t>
    <phoneticPr fontId="3" type="noConversion"/>
  </si>
  <si>
    <t>金地熙园</t>
    <phoneticPr fontId="3" type="noConversion"/>
  </si>
  <si>
    <t>王鹏</t>
  </si>
  <si>
    <t>崔锴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</si>
</sst>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58" fontId="50" fillId="0" borderId="1" xfId="0" applyNumberFormat="1" applyFont="1" applyBorder="1" applyAlignment="1" applyProtection="1">
      <alignment horizontal="center" vertical="center" wrapText="1"/>
      <protection locked="0"/>
    </xf>
    <xf numFmtId="58" fontId="50" fillId="5"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1" xfId="0" applyNumberFormat="1" applyFont="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113" fillId="0" borderId="1" xfId="0" applyFont="1" applyBorder="1" applyAlignment="1"/>
    <xf numFmtId="0" fontId="254" fillId="5" borderId="1" xfId="0" applyFont="1" applyFill="1" applyBorder="1" applyAlignment="1"/>
    <xf numFmtId="0" fontId="113" fillId="5" borderId="1" xfId="0" applyFont="1" applyFill="1" applyBorder="1" applyAlignment="1"/>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13" fillId="0" borderId="1" xfId="0" applyFont="1" applyFill="1" applyBorder="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86" fontId="120" fillId="5"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3</xdr:col>
      <xdr:colOff>505495</xdr:colOff>
      <xdr:row>67</xdr:row>
      <xdr:rowOff>54937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6589059"/>
          <a:ext cx="3609524" cy="4257143"/>
        </a:xfrm>
        <a:prstGeom prst="rect">
          <a:avLst/>
        </a:prstGeom>
      </xdr:spPr>
    </xdr:pic>
    <xdr:clientData/>
  </xdr:twoCellAnchor>
  <xdr:twoCellAnchor editAs="oneCell">
    <xdr:from>
      <xdr:col>4</xdr:col>
      <xdr:colOff>33618</xdr:colOff>
      <xdr:row>42</xdr:row>
      <xdr:rowOff>67236</xdr:rowOff>
    </xdr:from>
    <xdr:to>
      <xdr:col>10</xdr:col>
      <xdr:colOff>670549</xdr:colOff>
      <xdr:row>66</xdr:row>
      <xdr:rowOff>61691</xdr:rowOff>
    </xdr:to>
    <xdr:pic>
      <xdr:nvPicPr>
        <xdr:cNvPr id="5" name="图片 4"/>
        <xdr:cNvPicPr>
          <a:picLocks noChangeAspect="1"/>
        </xdr:cNvPicPr>
      </xdr:nvPicPr>
      <xdr:blipFill>
        <a:blip xmlns:r="http://schemas.openxmlformats.org/officeDocument/2006/relationships" r:embed="rId2"/>
        <a:stretch>
          <a:fillRect/>
        </a:stretch>
      </xdr:blipFill>
      <xdr:spPr>
        <a:xfrm>
          <a:off x="3821206" y="6656295"/>
          <a:ext cx="5466667" cy="4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519;-&#25151;&#22320;&#20135;&#29616;&#25151;18.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26690;&#26519;-&#25151;&#22320;&#20135;&#29616;&#25151;18.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1拖2"/>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8674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1拖2"/>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H118">
            <v>43182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1219</v>
      </c>
      <c r="B1" s="1583" t="s">
        <v>1298</v>
      </c>
    </row>
    <row r="2" spans="1:2" s="1588" customFormat="1" ht="16.2" thickTop="1">
      <c r="A2" s="1586" t="s">
        <v>1220</v>
      </c>
      <c r="B2" s="1587" t="str">
        <f>'预评函-封皮'!B37:I37</f>
        <v>广西自治区叠彩区站前路以北、春江路以东、漓江以西出让国有建设用地使用权及在建建筑物房地产抵押价值预评估</v>
      </c>
    </row>
    <row r="3" spans="1:2" s="1591" customFormat="1">
      <c r="A3" s="1589" t="s">
        <v>1221</v>
      </c>
      <c r="B3" s="1590" t="str">
        <f>'预评函-封皮'!B40</f>
        <v>桂林恒大房地产有限公司</v>
      </c>
    </row>
    <row r="4" spans="1:2" s="1591" customFormat="1">
      <c r="A4" s="1589" t="s">
        <v>1222</v>
      </c>
      <c r="B4" s="1590" t="str">
        <f ca="1">'预评函-封皮'!B46</f>
        <v>王鹏（注册号：1120050019)、崔锴（注册号：1120100036)</v>
      </c>
    </row>
    <row r="5" spans="1:2" s="1585" customFormat="1" ht="16.2" thickBot="1">
      <c r="A5" s="1592" t="s">
        <v>1223</v>
      </c>
      <c r="B5" s="1593" t="str">
        <f>'预评函-封皮'!B49</f>
        <v>康正预评字2018-1-0619-P01DYGJ1号</v>
      </c>
    </row>
    <row r="6" spans="1:2" s="1588" customFormat="1" ht="16.2" thickTop="1">
      <c r="A6" s="1586" t="s">
        <v>1224</v>
      </c>
      <c r="B6" s="1587" t="str">
        <f>'预评函-1'!A4</f>
        <v>受贵公司委托，我公司对广西自治区叠彩区站前路以北、春江路以东、漓江以西出让国有建设用地使用权及在建建筑物房地产抵押价值进行了预评估。</v>
      </c>
    </row>
    <row r="7" spans="1:2" s="1591" customFormat="1">
      <c r="A7" s="1589" t="s">
        <v>1264</v>
      </c>
      <c r="B7" s="1590" t="str">
        <f>'预评函-1'!A7</f>
        <v>估价对象为广西自治区叠彩区站前路以北、春江路以东、漓江以西出让国有建设用地使用权及在建建筑物房地产，为桂林恒大房地产有限公司所有。根据《不动产权证书》[桂（2016）桂林市不动产权第0000009号]，估价对象（分摊）出让国有建设用地使用权面积为28191.57平方米，建筑面积为49782.53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广西自治区叠彩区站前路以北、春江路以东、漓江以西出让国有建设用地使用权及在建建筑物房地产,属桂林恒大房地产有限公司开发建设的居住项目，该项目尚在开发建设中。根据《不动产权证书》[桂（2016）桂林市不动产权第0000009号]，估价对象（分摊）出让国有建设用地使用权面积为28191.57平方米，规划建筑面积为49782.53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为估价委托人在向中粮信托办理贷款手续过程中，确定房地产抵押贷款额度提供参考依据而评估房地产抵押价值。</v>
      </c>
    </row>
    <row r="12" spans="1:2" s="1591" customFormat="1">
      <c r="A12" s="1589" t="s">
        <v>1226</v>
      </c>
      <c r="B12" s="1590" t="str">
        <f>'预评函-1'!A15</f>
        <v>2018年8月30日（评估专业人员实地查勘之日）</v>
      </c>
    </row>
    <row r="13" spans="1:2" s="1591" customFormat="1">
      <c r="A13" s="1589" t="s">
        <v>1227</v>
      </c>
      <c r="B13" s="1590" t="str">
        <f>'预评函-1'!A18</f>
        <v>本次估价的“房地产价值”是指在正常市场情况下，在价值时点2018年8月30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6.2" thickBot="1">
      <c r="A18" s="1592" t="s">
        <v>1232</v>
      </c>
      <c r="B18" s="1593" t="str">
        <f>'预评函-1'!A24</f>
        <v>本次评估采用的主估价方法为成本法和假设开发法。</v>
      </c>
    </row>
    <row r="19" spans="1:2" s="1588" customFormat="1" ht="16.2"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35435</v>
      </c>
    </row>
    <row r="21" spans="1:2" s="1591" customFormat="1">
      <c r="A21" s="1589" t="s">
        <v>1235</v>
      </c>
      <c r="B21" s="1590">
        <f ca="1">'预评函-2'!D7</f>
        <v>7118</v>
      </c>
    </row>
    <row r="22" spans="1:2" s="1591" customFormat="1">
      <c r="A22" s="1589" t="s">
        <v>1236</v>
      </c>
      <c r="B22" s="1590" t="str">
        <f ca="1">'预评函-2'!D6</f>
        <v>叁亿伍仟肆佰叁拾伍万元整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35435</v>
      </c>
    </row>
    <row r="31" spans="1:2" s="1591" customFormat="1">
      <c r="A31" s="1589" t="s">
        <v>1274</v>
      </c>
      <c r="B31" s="1590">
        <f ca="1">'预评函-2'!D15</f>
        <v>7118</v>
      </c>
    </row>
    <row r="32" spans="1:2" s="1591" customFormat="1">
      <c r="A32" s="1589" t="s">
        <v>1241</v>
      </c>
      <c r="B32" s="1590" t="str">
        <f ca="1">'预评函-2'!D14</f>
        <v>叁亿伍仟肆佰叁拾伍万元整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广西自治区叠彩区站前路以北、春江路以东、漓江以西出让国有建设用地使用权及在建建筑物房地产</v>
      </c>
    </row>
    <row r="42" spans="1:2" s="1591" customFormat="1" ht="31.2">
      <c r="A42" s="1589" t="s">
        <v>1288</v>
      </c>
      <c r="B42" s="1590" t="str">
        <f>'预评函-3'!B2</f>
        <v>建筑面积</v>
      </c>
    </row>
    <row r="43" spans="1:2" s="1591" customFormat="1">
      <c r="A43" s="1589" t="s">
        <v>1289</v>
      </c>
      <c r="B43" s="1590">
        <f>'预评函-3'!B4</f>
        <v>49782.53</v>
      </c>
    </row>
    <row r="44" spans="1:2" s="1591" customFormat="1" ht="31.2">
      <c r="A44" s="1589" t="s">
        <v>1273</v>
      </c>
      <c r="B44" s="1590" t="str">
        <f>'预评函-3'!C2</f>
        <v>(分摊)土地面积</v>
      </c>
    </row>
    <row r="45" spans="1:2" s="1591" customFormat="1">
      <c r="A45" s="1589" t="s">
        <v>1245</v>
      </c>
      <c r="B45" s="1590">
        <f>'预评函-3'!C4</f>
        <v>28191.57</v>
      </c>
    </row>
    <row r="46" spans="1:2" s="1591" customFormat="1">
      <c r="A46" s="1589" t="s">
        <v>1271</v>
      </c>
      <c r="B46" s="1590" t="str">
        <f>'预评函-3'!D2</f>
        <v>出让国有建设用地使用权价值</v>
      </c>
    </row>
    <row r="47" spans="1:2" s="1591" customFormat="1">
      <c r="A47" s="1589" t="s">
        <v>1246</v>
      </c>
      <c r="B47" s="1590">
        <f ca="1">'预评函-3'!D4</f>
        <v>15414</v>
      </c>
    </row>
    <row r="48" spans="1:2" s="1591" customFormat="1">
      <c r="A48" s="1589" t="s">
        <v>1247</v>
      </c>
      <c r="B48" s="1590">
        <f ca="1">'预评函-3'!E4</f>
        <v>3096</v>
      </c>
    </row>
    <row r="49" spans="1:2" s="1591" customFormat="1">
      <c r="A49" s="1589" t="s">
        <v>1248</v>
      </c>
      <c r="B49" s="1590" t="str">
        <f ca="1">'预评函-3'!D5</f>
        <v>壹亿伍仟肆佰壹拾肆万元整</v>
      </c>
    </row>
    <row r="50" spans="1:2" s="1591" customFormat="1">
      <c r="A50" s="1589" t="s">
        <v>1272</v>
      </c>
      <c r="B50" s="1590" t="str">
        <f>'预评函-3'!F2</f>
        <v>在建建筑物价值</v>
      </c>
    </row>
    <row r="51" spans="1:2" s="1591" customFormat="1">
      <c r="A51" s="1589" t="s">
        <v>1249</v>
      </c>
      <c r="B51" s="1590">
        <f ca="1">'预评函-3'!F4</f>
        <v>20021</v>
      </c>
    </row>
    <row r="52" spans="1:2" s="1591" customFormat="1">
      <c r="A52" s="1589" t="s">
        <v>1250</v>
      </c>
      <c r="B52" s="1590">
        <f ca="1">'预评函-3'!G4</f>
        <v>4022</v>
      </c>
    </row>
    <row r="53" spans="1:2" s="1591" customFormat="1">
      <c r="A53" s="1589" t="s">
        <v>1278</v>
      </c>
      <c r="B53" s="1590" t="str">
        <f ca="1">'预评函-3'!F5</f>
        <v>贰亿零贰拾壹万元整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6.2" thickBot="1">
      <c r="A57" s="1592" t="s">
        <v>1297</v>
      </c>
      <c r="B57" s="1593" t="str">
        <f>'预评函-3'!A6</f>
        <v>估价师知悉的法定优先受偿款</v>
      </c>
    </row>
    <row r="58" spans="1:2" s="1588" customFormat="1" ht="16.2"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6.2" thickBot="1">
      <c r="A69" s="1592" t="s">
        <v>1259</v>
      </c>
      <c r="B69" s="1594">
        <f>'预评函-4'!C31</f>
        <v>42551</v>
      </c>
    </row>
    <row r="70" spans="1:2" ht="16.2" thickTop="1">
      <c r="A70" s="1595" t="s">
        <v>1260</v>
      </c>
      <c r="B70" s="1596" t="str">
        <f>'预评函-4'!A4</f>
        <v>王鹏</v>
      </c>
    </row>
    <row r="71" spans="1:2">
      <c r="A71" s="1589" t="s">
        <v>1261</v>
      </c>
      <c r="B71" s="1590">
        <f ca="1">'预评函-4'!B4</f>
        <v>1120050019</v>
      </c>
    </row>
    <row r="72" spans="1:2">
      <c r="A72" s="1589" t="s">
        <v>1262</v>
      </c>
      <c r="B72" s="1598" t="str">
        <f>'预评函-4'!A5</f>
        <v>崔锴</v>
      </c>
    </row>
    <row r="73" spans="1:2" s="1585" customFormat="1" ht="16.2" thickBot="1">
      <c r="A73" s="1592" t="s">
        <v>1263</v>
      </c>
      <c r="B73" s="1593">
        <f ca="1">'预评函-4'!B5</f>
        <v>1120100036</v>
      </c>
    </row>
    <row r="74" spans="1:2" ht="16.2"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2" customWidth="1"/>
    <col min="2" max="2" width="23.21875" style="1973" customWidth="1"/>
    <col min="3" max="3" width="13" style="2017" hidden="1" customWidth="1"/>
    <col min="4" max="4" width="5.77734375" style="2014" hidden="1" customWidth="1"/>
    <col min="5" max="5" width="7.109375" style="2014" hidden="1" customWidth="1"/>
    <col min="6" max="6" width="10.6640625" style="2014" hidden="1" customWidth="1"/>
    <col min="7" max="7" width="7.44140625" style="2014" hidden="1" customWidth="1"/>
    <col min="8" max="8" width="9" style="2017" hidden="1" customWidth="1"/>
    <col min="9" max="9" width="11.6640625" style="2017" hidden="1" customWidth="1"/>
    <col min="10" max="10" width="9" style="2017" hidden="1" customWidth="1"/>
    <col min="11" max="19" width="9" style="2014" hidden="1" customWidth="1"/>
    <col min="20" max="22" width="9" style="2017" hidden="1" customWidth="1"/>
    <col min="23" max="23" width="9" style="2017" customWidth="1"/>
    <col min="24" max="24" width="21.109375" style="1973" customWidth="1"/>
    <col min="25" max="16384" width="9" style="1973"/>
  </cols>
  <sheetData>
    <row r="1" spans="1:23" s="2011" customFormat="1" ht="28.8">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5" t="s">
        <v>3417</v>
      </c>
      <c r="C17" s="2013"/>
    </row>
    <row r="18" spans="1:3">
      <c r="A18" s="2012" t="s">
        <v>1767</v>
      </c>
      <c r="B18" s="2015" t="s">
        <v>3424</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恒大房地产有限公司拟使用广西自治区叠彩区站前路以北、春江路以东、漓江以西出让国有建设用地使用权及在建建筑物房地产作为抵押担保物，向中粮信托办理贷款手续。中粮信托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0" t="s">
        <v>864</v>
      </c>
      <c r="C54" s="2017" t="s">
        <v>1281</v>
      </c>
    </row>
    <row r="55" spans="1:4">
      <c r="A55" s="3013"/>
      <c r="B55" s="2020" t="s">
        <v>865</v>
      </c>
      <c r="C55" s="2017" t="s">
        <v>1282</v>
      </c>
    </row>
    <row r="56" spans="1:4">
      <c r="A56" s="3013"/>
      <c r="B56" s="2020" t="s">
        <v>866</v>
      </c>
      <c r="C56" s="2017" t="s">
        <v>1286</v>
      </c>
    </row>
    <row r="57" spans="1:4">
      <c r="A57" s="301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8671875" style="2030" customWidth="1"/>
    <col min="2" max="2" width="10" style="2030" customWidth="1"/>
    <col min="3" max="3" width="11.44140625" style="2030" customWidth="1"/>
    <col min="4" max="4" width="12.44140625" style="2030" customWidth="1"/>
    <col min="5" max="6" width="10" style="2030" customWidth="1"/>
    <col min="7" max="7" width="10.77734375" style="2030" customWidth="1"/>
    <col min="8" max="8" width="10" style="2030" customWidth="1"/>
    <col min="9" max="9" width="11.10937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22" t="str">
        <f>IF(B10="北京市","北京市",C10)&amp;F10&amp;IF(结果表!G1="在建","出让国有建设用地使用权及在建建筑物",IF(结果表!G1="土地","出让国有建设用地使用权",))&amp;B9&amp;"预评估"</f>
        <v>广西自治区叠彩区站前路以北、春江路以东、漓江以西出让国有建设用地使用权及在建建筑物房地产抵押价值预评估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广西自治区叠彩区站前路以北、春江路以东、漓江以西出让国有建设用地使用权及在建建筑物房地产抵押价值</v>
      </c>
    </row>
    <row r="2" spans="1:19" ht="18" customHeight="1">
      <c r="A2" s="2024" t="s">
        <v>1777</v>
      </c>
      <c r="B2" s="1039" t="s">
        <v>3433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广西自治区叠彩区站前路以北、春江路以东、漓江以西出让国有建设用地使用权及在建建筑物房地产</v>
      </c>
    </row>
    <row r="3" spans="1:19" ht="18" customHeight="1">
      <c r="A3" s="2033" t="s">
        <v>1778</v>
      </c>
      <c r="B3" s="2034">
        <v>43342</v>
      </c>
      <c r="C3" s="2035" t="s">
        <v>1779</v>
      </c>
      <c r="D3" s="2034">
        <f>B3</f>
        <v>43342</v>
      </c>
      <c r="E3" s="2024"/>
      <c r="F3" s="2024"/>
      <c r="G3" s="2024"/>
      <c r="H3" s="2024"/>
      <c r="I3" s="2024"/>
      <c r="J3" s="2024"/>
      <c r="K3" s="2025"/>
      <c r="L3" s="2026"/>
      <c r="M3" s="2026"/>
      <c r="N3" s="2027"/>
      <c r="O3" s="2028"/>
      <c r="P3" s="2027"/>
      <c r="Q3" s="2027"/>
      <c r="R3" s="2027"/>
      <c r="S3" s="2029"/>
    </row>
    <row r="4" spans="1:19" ht="18" customHeight="1" thickBot="1">
      <c r="A4" s="2036" t="s">
        <v>1780</v>
      </c>
      <c r="B4" s="2037" t="s">
        <v>3463</v>
      </c>
      <c r="C4" s="1037">
        <f ca="1">SUMIF(注册房地产估价师,B4,估价师及机构信息!B3:B24)</f>
        <v>1120050019</v>
      </c>
      <c r="D4" s="2037" t="s">
        <v>3464</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王鹏（注册号：1120050019)、崔锴（注册号：1120100036)</v>
      </c>
      <c r="L4" s="2026"/>
      <c r="M4" s="2026"/>
      <c r="N4" s="2027"/>
      <c r="O4" s="2028"/>
      <c r="P4" s="2027"/>
      <c r="Q4" s="2027"/>
      <c r="R4" s="2027"/>
      <c r="S4" s="2029"/>
    </row>
    <row r="5" spans="1:19" ht="18" customHeight="1" thickTop="1">
      <c r="A5" s="2042" t="s">
        <v>1781</v>
      </c>
      <c r="B5" s="2966" t="s">
        <v>3434</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67" t="s">
        <v>3435</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049" t="str">
        <f>B5</f>
        <v>桂林恒大房地产有限公司</v>
      </c>
      <c r="C7" s="2046"/>
      <c r="D7" s="2047"/>
      <c r="E7" s="2032"/>
      <c r="F7" s="2040"/>
      <c r="G7" s="2040"/>
      <c r="H7" s="2040"/>
      <c r="I7" s="2040"/>
      <c r="J7" s="2040"/>
      <c r="K7" s="2050"/>
      <c r="L7" s="2026"/>
      <c r="M7" s="2026"/>
      <c r="N7" s="2027"/>
      <c r="O7" s="2028"/>
      <c r="P7" s="2027"/>
      <c r="Q7" s="2027"/>
      <c r="R7" s="2027"/>
    </row>
    <row r="8" spans="1:19" ht="18" customHeight="1">
      <c r="A8" s="2045" t="s">
        <v>1784</v>
      </c>
      <c r="B8" s="2051" t="s">
        <v>3048</v>
      </c>
      <c r="C8" s="2052"/>
      <c r="D8" s="3025" t="s">
        <v>1785</v>
      </c>
      <c r="E8" s="2053" t="s">
        <v>3049</v>
      </c>
      <c r="F8" s="2054"/>
      <c r="G8" s="2024"/>
      <c r="H8" s="2024"/>
      <c r="I8" s="2024"/>
      <c r="J8" s="2040"/>
      <c r="K8" s="2041"/>
      <c r="L8" s="2026"/>
      <c r="M8" s="2026"/>
      <c r="N8" s="2027"/>
      <c r="O8" s="2028"/>
      <c r="P8" s="2027"/>
      <c r="Q8" s="2027"/>
      <c r="R8" s="2027"/>
    </row>
    <row r="9" spans="1:19" ht="18" customHeight="1" thickBot="1">
      <c r="A9" s="2038" t="s">
        <v>1786</v>
      </c>
      <c r="B9" s="2055" t="s">
        <v>3049</v>
      </c>
      <c r="C9" s="2056"/>
      <c r="D9" s="3026"/>
      <c r="E9" s="2055" t="s">
        <v>70</v>
      </c>
      <c r="F9" s="2057"/>
      <c r="G9" s="2058"/>
      <c r="H9" s="2058"/>
      <c r="I9" s="2058"/>
      <c r="J9" s="2040"/>
      <c r="K9" s="2050"/>
      <c r="L9" s="2026"/>
      <c r="M9" s="2026"/>
      <c r="N9" s="2027"/>
      <c r="O9" s="2028"/>
      <c r="P9" s="2027"/>
      <c r="Q9" s="2027"/>
      <c r="R9" s="2027"/>
    </row>
    <row r="10" spans="1:19" ht="18" customHeight="1" thickTop="1">
      <c r="A10" s="2059" t="s">
        <v>1787</v>
      </c>
      <c r="B10" s="2060" t="s">
        <v>3050</v>
      </c>
      <c r="C10" s="2945" t="s">
        <v>3051</v>
      </c>
      <c r="D10" s="2044"/>
      <c r="E10" s="2061" t="s">
        <v>1788</v>
      </c>
      <c r="F10" s="2946" t="s">
        <v>3429</v>
      </c>
      <c r="G10" s="2062"/>
      <c r="H10" s="2063"/>
      <c r="I10" s="2044"/>
      <c r="J10" s="2040"/>
      <c r="K10" s="2050"/>
      <c r="L10" s="2026"/>
      <c r="M10" s="2026"/>
      <c r="N10" s="2027"/>
      <c r="O10" s="2028"/>
      <c r="P10" s="2027"/>
      <c r="Q10" s="2027"/>
      <c r="R10" s="2027"/>
    </row>
    <row r="11" spans="1:19" ht="18" customHeight="1">
      <c r="A11" s="2064" t="s">
        <v>1789</v>
      </c>
      <c r="B11" s="2065" t="s">
        <v>3052</v>
      </c>
      <c r="C11" s="2066" t="str">
        <f>B5</f>
        <v>桂林恒大房地产有限公司</v>
      </c>
      <c r="D11" s="2067"/>
      <c r="E11" s="2040"/>
      <c r="F11" s="2040"/>
      <c r="G11" s="2040"/>
      <c r="H11" s="2040"/>
      <c r="I11" s="2040"/>
      <c r="J11" s="2040"/>
      <c r="K11" s="2050"/>
      <c r="L11" s="2026"/>
      <c r="M11" s="2026"/>
      <c r="N11" s="2027"/>
      <c r="O11" s="2028"/>
      <c r="P11" s="2027"/>
      <c r="Q11" s="2027"/>
      <c r="R11" s="2027"/>
    </row>
    <row r="12" spans="1:19" ht="18" customHeight="1">
      <c r="A12" s="2068" t="s">
        <v>1790</v>
      </c>
      <c r="B12" s="2065" t="s">
        <v>3053</v>
      </c>
      <c r="C12" s="2069" t="s">
        <v>1791</v>
      </c>
      <c r="D12" s="2070" t="s">
        <v>1792</v>
      </c>
      <c r="E12" s="2070" t="s">
        <v>1793</v>
      </c>
      <c r="F12" s="2070" t="s">
        <v>1794</v>
      </c>
      <c r="G12" s="2070" t="s">
        <v>1795</v>
      </c>
      <c r="H12" s="2070" t="s">
        <v>1796</v>
      </c>
      <c r="I12" s="2070" t="s">
        <v>1797</v>
      </c>
      <c r="J12" s="2040"/>
      <c r="K12" s="2050"/>
      <c r="L12" s="2026"/>
      <c r="M12" s="2026"/>
      <c r="N12" s="2027"/>
      <c r="O12" s="2028"/>
      <c r="P12" s="2027"/>
      <c r="Q12" s="2027"/>
      <c r="R12" s="2027"/>
    </row>
    <row r="13" spans="1:19" ht="18" customHeight="1">
      <c r="A13" s="2071"/>
      <c r="B13" s="2072"/>
      <c r="C13" s="2073" t="s">
        <v>1798</v>
      </c>
      <c r="D13" s="2074">
        <v>68042</v>
      </c>
      <c r="E13" s="2074">
        <v>57085</v>
      </c>
      <c r="F13" s="2074"/>
      <c r="G13" s="2074">
        <v>60737</v>
      </c>
      <c r="H13" s="2074"/>
      <c r="I13" s="1047"/>
      <c r="J13" s="2040"/>
      <c r="K13" s="2050"/>
      <c r="L13" s="2026"/>
      <c r="M13" s="2026"/>
      <c r="N13" s="2027"/>
      <c r="O13" s="2028"/>
      <c r="P13" s="2027"/>
      <c r="Q13" s="2027"/>
      <c r="R13" s="2027"/>
    </row>
    <row r="14" spans="1:19" ht="18" customHeight="1">
      <c r="A14" s="2071"/>
      <c r="B14" s="2072"/>
      <c r="C14" s="2073" t="s">
        <v>1799</v>
      </c>
      <c r="D14" s="1050">
        <v>70</v>
      </c>
      <c r="E14" s="1050">
        <v>40</v>
      </c>
      <c r="F14" s="1050"/>
      <c r="G14" s="1050">
        <v>50</v>
      </c>
      <c r="H14" s="1050"/>
      <c r="I14" s="1050"/>
      <c r="J14" s="2040"/>
      <c r="K14" s="2075"/>
      <c r="L14" s="2026"/>
      <c r="M14" s="2026"/>
      <c r="N14" s="2027"/>
      <c r="O14" s="2028"/>
      <c r="P14" s="2027"/>
      <c r="Q14" s="2027"/>
      <c r="R14" s="2027"/>
    </row>
    <row r="15" spans="1:19" ht="18" customHeight="1">
      <c r="A15" s="2059"/>
      <c r="B15" s="2076"/>
      <c r="C15" s="2073" t="s">
        <v>1800</v>
      </c>
      <c r="D15" s="1049">
        <f>IF(B12="出让",IF(D13="","",ROUNDDOWN(MIN((D13-$D$3)/365,D14),2)),D14)</f>
        <v>67.67</v>
      </c>
      <c r="E15" s="1049">
        <f>IF(B12="出让",IF(E13="","",ROUNDDOWN(MIN((E13-$D$3)/365,E14),2)),E14)</f>
        <v>37.65</v>
      </c>
      <c r="F15" s="1049" t="str">
        <f>IF(B12="出让",IF(F13="","",ROUNDDOWN(MIN((F13-$D$3)/365,F14),2)),F14)</f>
        <v/>
      </c>
      <c r="G15" s="1049">
        <f>IF(B12="出让",IF(G13="","",ROUNDDOWN(MIN((G13-$D$3)/365,G14),2)),G14)</f>
        <v>47.65</v>
      </c>
      <c r="H15" s="1049" t="str">
        <f>IF(B12="出让",IF(H13="","",ROUNDDOWN(MIN((H13-$D$3)/365,H14),2)),H14)</f>
        <v/>
      </c>
      <c r="I15" s="1049" t="str">
        <f>IF(B12="出让",IF(I13="","",ROUNDDOWN(MIN((I13-$D$3)/365,I14),2)),I14)</f>
        <v/>
      </c>
      <c r="J15" s="2040"/>
      <c r="K15" s="2077"/>
      <c r="L15" s="2078"/>
      <c r="M15" s="2078"/>
      <c r="N15" s="2079"/>
      <c r="O15" s="2078"/>
      <c r="P15" s="2079"/>
      <c r="Q15" s="2027"/>
      <c r="R15" s="2027"/>
    </row>
    <row r="16" spans="1:19" ht="30.75" customHeight="1">
      <c r="A16" s="2061" t="s">
        <v>1801</v>
      </c>
      <c r="B16" s="3032"/>
      <c r="C16" s="3033"/>
      <c r="D16" s="3034"/>
      <c r="E16" s="2080" t="s">
        <v>1802</v>
      </c>
      <c r="F16" s="3035"/>
      <c r="G16" s="3036"/>
      <c r="H16" s="3036"/>
      <c r="I16" s="3037"/>
      <c r="J16" s="2027"/>
      <c r="K16" s="2077"/>
      <c r="L16" s="2078"/>
      <c r="M16" s="2078"/>
      <c r="N16" s="2079"/>
      <c r="O16" s="2078"/>
      <c r="P16" s="2079"/>
      <c r="Q16" s="2027"/>
      <c r="R16" s="2027"/>
    </row>
    <row r="17" spans="1:22" ht="18" customHeight="1">
      <c r="A17" s="2081" t="s">
        <v>1803</v>
      </c>
      <c r="B17" s="2033" t="s">
        <v>1804</v>
      </c>
      <c r="C17" s="1054">
        <f>'数据-汇总表'!E3</f>
        <v>49782.53</v>
      </c>
      <c r="D17" s="2082" t="s">
        <v>1805</v>
      </c>
      <c r="E17" s="3038" t="s">
        <v>1806</v>
      </c>
      <c r="F17" s="3039"/>
      <c r="G17" s="3039"/>
      <c r="H17" s="3039"/>
      <c r="I17" s="3040"/>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3">
        <f>'数据-汇总表'!D3</f>
        <v>28191.57</v>
      </c>
      <c r="D18" s="2085" t="s">
        <v>1805</v>
      </c>
      <c r="E18" s="3041" t="s">
        <v>3436</v>
      </c>
      <c r="F18" s="3042"/>
      <c r="G18" s="3042"/>
      <c r="H18" s="3042"/>
      <c r="I18" s="3043"/>
      <c r="J18" s="2027"/>
      <c r="K18" s="2083"/>
      <c r="L18" s="2078"/>
      <c r="M18" s="2078"/>
      <c r="N18" s="2079"/>
      <c r="O18" s="2078"/>
      <c r="P18" s="2079"/>
      <c r="Q18" s="2027"/>
      <c r="R18" s="2027"/>
      <c r="S18" s="2027"/>
      <c r="T18" s="2027"/>
      <c r="U18" s="2027"/>
      <c r="V18" s="2027"/>
    </row>
    <row r="19" spans="1:22" ht="37.5" customHeight="1" thickTop="1" thickBot="1">
      <c r="A19" s="373" t="s">
        <v>1809</v>
      </c>
      <c r="B19" s="352" t="s">
        <v>1810</v>
      </c>
      <c r="C19" s="2086" t="s">
        <v>3058</v>
      </c>
      <c r="D19" s="2087" t="s">
        <v>1811</v>
      </c>
      <c r="E19" s="2088"/>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1812</v>
      </c>
      <c r="B20" s="3028" t="s">
        <v>1813</v>
      </c>
      <c r="C20" s="3029"/>
      <c r="D20" s="3030" t="s">
        <v>1814</v>
      </c>
      <c r="E20" s="3031"/>
      <c r="F20" s="2092" t="s">
        <v>1815</v>
      </c>
      <c r="G20" s="2040"/>
      <c r="H20" s="2040"/>
      <c r="I20" s="2040"/>
      <c r="J20" s="2040"/>
      <c r="K20" s="3027"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1817</v>
      </c>
      <c r="C21" s="2094" t="s">
        <v>3437</v>
      </c>
      <c r="D21" s="2095"/>
      <c r="E21" s="2096" t="s">
        <v>1818</v>
      </c>
      <c r="F21" s="2097"/>
      <c r="G21" s="2040"/>
      <c r="H21" s="2040"/>
      <c r="I21" s="2040"/>
      <c r="J21" s="2040"/>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1819</v>
      </c>
      <c r="C22" s="2094" t="s">
        <v>1820</v>
      </c>
      <c r="D22" s="2024"/>
      <c r="E22" s="2024"/>
      <c r="F22" s="2099"/>
      <c r="G22" s="2040"/>
      <c r="H22" s="2040"/>
      <c r="I22" s="2040"/>
      <c r="J22" s="2040"/>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1821</v>
      </c>
      <c r="B23" s="183" t="s">
        <v>1822</v>
      </c>
      <c r="C23" s="2101"/>
      <c r="D23" s="2102" t="s">
        <v>1822</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1823</v>
      </c>
      <c r="C24" s="2106"/>
      <c r="D24" s="2100" t="s">
        <v>1823</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1824</v>
      </c>
      <c r="C25" s="2106"/>
      <c r="D25" s="2100" t="s">
        <v>1824</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1825</v>
      </c>
      <c r="C26" s="2110"/>
      <c r="D26" s="2111" t="s">
        <v>1826</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15" t="s">
        <v>1827</v>
      </c>
      <c r="B27" s="2059" t="s">
        <v>1828</v>
      </c>
      <c r="C27" s="2114" t="s">
        <v>3438</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15"/>
      <c r="B28" s="2033" t="s">
        <v>1829</v>
      </c>
      <c r="C28" s="2116" t="s">
        <v>3439</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15"/>
      <c r="B29" s="2033" t="s">
        <v>1830</v>
      </c>
      <c r="C29" s="2119" t="s">
        <v>3440</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16"/>
      <c r="B30" s="2033" t="s">
        <v>1831</v>
      </c>
      <c r="C30" s="3017"/>
      <c r="D30" s="3018"/>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19" t="s">
        <v>1832</v>
      </c>
      <c r="B31" s="2121" t="s">
        <v>3441</v>
      </c>
      <c r="C31" s="2122" t="str">
        <f>IF(B31="现房","成新及维护状况正常否",IF(B31="在建","工程状态是否正常",IF(B31="土地","是否闲置","-")))</f>
        <v>工程状态是否正常</v>
      </c>
      <c r="D31" s="2123"/>
      <c r="E31" s="2968" t="s">
        <v>3442</v>
      </c>
      <c r="F31" s="2040"/>
      <c r="G31" s="2040"/>
      <c r="H31" s="2040"/>
      <c r="I31" s="2040"/>
      <c r="J31" s="2040"/>
      <c r="K31" s="2048"/>
      <c r="L31" s="2026"/>
      <c r="M31" s="2026"/>
      <c r="N31" s="2027"/>
      <c r="O31" s="2028"/>
      <c r="P31" s="2027"/>
      <c r="Q31" s="2027"/>
      <c r="R31" s="2027"/>
      <c r="S31" s="2027"/>
      <c r="T31" s="2027"/>
      <c r="U31" s="2027"/>
      <c r="V31" s="2027"/>
    </row>
    <row r="32" spans="1:22" ht="18" customHeight="1">
      <c r="A32" s="3020"/>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20"/>
      <c r="B33" s="2125"/>
      <c r="C33" s="2064"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1833</v>
      </c>
      <c r="B34" s="2128" t="s">
        <v>3443</v>
      </c>
      <c r="C34" s="2128" t="s">
        <v>3444</v>
      </c>
      <c r="D34" s="2128" t="s">
        <v>3445</v>
      </c>
      <c r="E34" s="2128" t="s">
        <v>3446</v>
      </c>
      <c r="F34" s="2128" t="s">
        <v>3447</v>
      </c>
      <c r="G34" s="2128" t="s">
        <v>3448</v>
      </c>
      <c r="H34" s="2128"/>
      <c r="I34" s="2040"/>
      <c r="J34" s="2040"/>
      <c r="K34" s="1793">
        <f>COUNTIF(B34:H34,"——")</f>
        <v>0</v>
      </c>
      <c r="L34" s="2069" t="s">
        <v>1834</v>
      </c>
      <c r="M34" s="2069" t="s">
        <v>1835</v>
      </c>
      <c r="N34" s="2069" t="s">
        <v>1836</v>
      </c>
      <c r="O34" s="2069" t="s">
        <v>1837</v>
      </c>
      <c r="P34" s="2069" t="s">
        <v>1838</v>
      </c>
      <c r="Q34" s="2069" t="s">
        <v>1839</v>
      </c>
      <c r="R34" s="2069" t="s">
        <v>1840</v>
      </c>
      <c r="S34" s="3014" t="s">
        <v>1841</v>
      </c>
      <c r="T34" s="2129" t="str">
        <f>NUMBERSTRING(7-K34,1)&amp;"通"</f>
        <v>七通</v>
      </c>
      <c r="U34" s="2027"/>
      <c r="V34" s="2027"/>
    </row>
    <row r="35" spans="1:22" ht="18" customHeight="1">
      <c r="A35" s="2130"/>
      <c r="B35" s="3021" t="s">
        <v>1842</v>
      </c>
      <c r="C35" s="3021"/>
      <c r="D35" s="3021"/>
      <c r="E35" s="3021"/>
      <c r="F35" s="2131" t="str">
        <f>C10</f>
        <v>广西自治区</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4"/>
      <c r="T35" s="48" t="str">
        <f>IF(T34="一通",L35,IF(T34="二通",M35,IF(T34="三通",N35,IF(T34="四通",O35,IF(T34="五通",P35,IF(T34="六通",Q35,R35))))))</f>
        <v>通路、通电、通讯、通上水、通下水、燃气、</v>
      </c>
      <c r="U35" s="2027"/>
      <c r="V35" s="2027"/>
    </row>
    <row r="36" spans="1:22" ht="18" customHeight="1">
      <c r="A36" s="2132"/>
      <c r="B36" s="2131" t="s">
        <v>1843</v>
      </c>
      <c r="C36" s="2131" t="s">
        <v>1844</v>
      </c>
      <c r="D36" s="2131" t="s">
        <v>1845</v>
      </c>
      <c r="E36" s="2131" t="s">
        <v>1846</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1847</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1848</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1850</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1851</v>
      </c>
      <c r="B42" s="1793" t="s">
        <v>1852</v>
      </c>
      <c r="C42" s="1793" t="s">
        <v>1853</v>
      </c>
      <c r="D42" s="1793" t="s">
        <v>1854</v>
      </c>
      <c r="E42" s="1793" t="s">
        <v>1855</v>
      </c>
      <c r="F42" s="1793" t="s">
        <v>1856</v>
      </c>
      <c r="G42" s="1793" t="s">
        <v>1857</v>
      </c>
      <c r="H42" s="1793" t="s">
        <v>1858</v>
      </c>
      <c r="I42" s="1793" t="s">
        <v>1859</v>
      </c>
      <c r="J42" s="2147" t="s">
        <v>1860</v>
      </c>
      <c r="K42" s="2070" t="s">
        <v>1861</v>
      </c>
      <c r="L42" s="2070" t="s">
        <v>1862</v>
      </c>
      <c r="M42" s="2070" t="s">
        <v>1863</v>
      </c>
      <c r="N42" s="1793" t="s">
        <v>1864</v>
      </c>
      <c r="O42" s="1793" t="s">
        <v>1865</v>
      </c>
      <c r="P42" s="1793" t="s">
        <v>1866</v>
      </c>
      <c r="Q42" s="2069" t="s">
        <v>1867</v>
      </c>
      <c r="R42" s="2069" t="s">
        <v>1868</v>
      </c>
      <c r="S42" s="2027"/>
      <c r="T42" s="2027"/>
      <c r="U42" s="2027"/>
      <c r="V42" s="2027"/>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43" sqref="B43"/>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2" width="9.44140625" style="2154" customWidth="1"/>
    <col min="13" max="13" width="10.6640625" style="2154" customWidth="1"/>
    <col min="14" max="14" width="9.44140625" style="2154" customWidth="1"/>
    <col min="15" max="15" width="9.88671875" style="2154" customWidth="1"/>
    <col min="16" max="16" width="9.77734375" style="2154" customWidth="1"/>
    <col min="17" max="17" width="10.77734375" style="2154" customWidth="1"/>
    <col min="18" max="18" width="9.21875" style="2154"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bestFit="1" customWidth="1"/>
    <col min="31" max="31" width="9.77734375" style="2154" customWidth="1"/>
    <col min="32" max="39" width="9.44140625" style="2154" customWidth="1"/>
    <col min="40" max="40" width="11.109375" style="2154" customWidth="1"/>
    <col min="41" max="46" width="9.44140625" style="2154" customWidth="1"/>
    <col min="47" max="47" width="18.109375" style="2154" customWidth="1"/>
    <col min="48" max="50" width="9.77734375" style="2154" customWidth="1"/>
    <col min="51" max="51" width="12.33203125" style="2154" bestFit="1" customWidth="1"/>
    <col min="52"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1874</v>
      </c>
      <c r="AZ2" s="1270"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c r="B3" s="14">
        <f>IF(C3="否",G5-AT5,G5)</f>
        <v>49782.53</v>
      </c>
      <c r="C3" s="2163" t="s">
        <v>3058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f>ROUND(B3/B43*A43,2)</f>
        <v>28191.57</v>
      </c>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1877</v>
      </c>
      <c r="B5" s="1801"/>
      <c r="C5" s="1801"/>
      <c r="D5" s="1804"/>
      <c r="E5" s="16" t="s">
        <v>1</v>
      </c>
      <c r="F5" s="16">
        <f>SUM(F13:F587)</f>
        <v>0</v>
      </c>
      <c r="G5" s="16">
        <f>SUM(G13:G587)</f>
        <v>49782.53</v>
      </c>
      <c r="H5" s="16">
        <f t="shared" ref="H5:AT5" si="0">SUM(H13:H656)</f>
        <v>49782.53</v>
      </c>
      <c r="I5" s="16">
        <f t="shared" si="0"/>
        <v>49782.53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1877</v>
      </c>
      <c r="AW5" s="1801"/>
      <c r="AX5" s="1801"/>
      <c r="AY5" s="17" t="s">
        <v>3</v>
      </c>
      <c r="AZ5" s="18">
        <f t="shared" ref="AZ5:BT5" si="1">SUM(AZ13:AZ656)</f>
        <v>49782.53</v>
      </c>
      <c r="BA5" s="18">
        <f t="shared" si="1"/>
        <v>49782.53</v>
      </c>
      <c r="BB5" s="18">
        <f t="shared" si="1"/>
        <v>49782.53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1878</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28191.57</v>
      </c>
      <c r="AZ6" s="16" t="s">
        <v>3</v>
      </c>
      <c r="BA6" s="16">
        <f>ROUND($AY$6*BA5/$AZ$5,2)</f>
        <v>28191.57</v>
      </c>
      <c r="BB6" s="16">
        <f>ROUND($AY$6*BB5/$AZ$5,2)</f>
        <v>28191.57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1886</v>
      </c>
      <c r="AV7" s="23" t="s">
        <v>1887</v>
      </c>
      <c r="AW7" s="2161" t="s">
        <v>1888</v>
      </c>
      <c r="AX7" s="23" t="s">
        <v>1881</v>
      </c>
      <c r="AY7" s="1801"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6"/>
      <c r="K8" s="1816"/>
      <c r="L8" s="1816"/>
      <c r="M8" s="1816"/>
      <c r="N8" s="1816"/>
      <c r="O8" s="1816"/>
      <c r="P8" s="1816"/>
      <c r="Q8" s="1816"/>
      <c r="R8" s="1816"/>
      <c r="S8" s="1816"/>
      <c r="T8" s="1816"/>
      <c r="U8" s="1816"/>
      <c r="V8" s="2181"/>
      <c r="W8" s="1816"/>
      <c r="X8" s="1816"/>
      <c r="Y8" s="1816"/>
      <c r="Z8" s="1816"/>
      <c r="AA8" s="2181"/>
      <c r="AB8" s="2182"/>
      <c r="AC8" s="981" t="s">
        <v>1892</v>
      </c>
      <c r="AD8" s="2183"/>
      <c r="AE8" s="2175"/>
      <c r="AF8" s="1816"/>
      <c r="AG8" s="1816"/>
      <c r="AH8" s="1816"/>
      <c r="AI8" s="1816"/>
      <c r="AJ8" s="1816"/>
      <c r="AK8" s="1816"/>
      <c r="AL8" s="1816"/>
      <c r="AM8" s="1816"/>
      <c r="AN8" s="1816"/>
      <c r="AO8" s="1816"/>
      <c r="AP8" s="1816"/>
      <c r="AQ8" s="1816"/>
      <c r="AR8" s="1816"/>
      <c r="AS8" s="1816"/>
      <c r="AT8" s="1292" t="s">
        <v>1893</v>
      </c>
      <c r="AU8" s="2177" t="s">
        <v>1894</v>
      </c>
      <c r="AV8" s="1292"/>
      <c r="AW8" s="2160"/>
      <c r="AX8" s="1292"/>
      <c r="AY8" s="2161" t="s">
        <v>1895</v>
      </c>
      <c r="AZ8" s="1815" t="s">
        <v>1896</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3.2">
      <c r="A9" s="2177"/>
      <c r="B9" s="2177"/>
      <c r="C9" s="2177"/>
      <c r="D9" s="2177"/>
      <c r="E9" s="2177"/>
      <c r="F9" s="2177"/>
      <c r="G9" s="1292"/>
      <c r="H9" s="2185" t="s">
        <v>1897</v>
      </c>
      <c r="I9" s="2186" t="s">
        <v>3054</v>
      </c>
      <c r="J9" s="981"/>
      <c r="K9" s="2186" t="s">
        <v>3054</v>
      </c>
      <c r="L9" s="981"/>
      <c r="M9" s="2186"/>
      <c r="N9" s="981"/>
      <c r="O9" s="2186"/>
      <c r="P9" s="981"/>
      <c r="Q9" s="2186"/>
      <c r="R9" s="981"/>
      <c r="S9" s="2186"/>
      <c r="T9" s="981"/>
      <c r="U9" s="2186"/>
      <c r="V9" s="981"/>
      <c r="W9" s="2186"/>
      <c r="X9" s="2187"/>
      <c r="Y9" s="2186"/>
      <c r="Z9" s="981"/>
      <c r="AA9" s="2186"/>
      <c r="AB9" s="981"/>
      <c r="AC9" s="2178"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88"/>
      <c r="AT9" s="2177"/>
      <c r="AU9" s="2177" t="s">
        <v>1900</v>
      </c>
      <c r="AV9" s="1292"/>
      <c r="AW9" s="2160"/>
      <c r="AX9" s="1292"/>
      <c r="AY9" s="28"/>
      <c r="AZ9" s="28" t="s">
        <v>1890</v>
      </c>
      <c r="BA9" s="2189" t="s">
        <v>1901</v>
      </c>
      <c r="BB9" s="2190"/>
      <c r="BC9" s="1338"/>
      <c r="BD9" s="1338"/>
      <c r="BE9" s="1338"/>
      <c r="BF9" s="1338"/>
      <c r="BG9" s="1338"/>
      <c r="BH9" s="1338"/>
      <c r="BI9" s="1338"/>
      <c r="BJ9" s="1338"/>
      <c r="BK9" s="2191"/>
      <c r="BL9" s="15" t="s">
        <v>1902</v>
      </c>
      <c r="BM9" s="1816"/>
      <c r="BN9" s="2180"/>
      <c r="BO9" s="1816"/>
      <c r="BP9" s="1816"/>
      <c r="BQ9" s="1816"/>
      <c r="BR9" s="1816"/>
      <c r="BS9" s="1816"/>
      <c r="BT9" s="26"/>
    </row>
    <row r="10" spans="1:72" s="2184" customFormat="1" ht="13.2">
      <c r="A10" s="2177"/>
      <c r="B10" s="2177"/>
      <c r="C10" s="2177"/>
      <c r="D10" s="2177"/>
      <c r="E10" s="2177"/>
      <c r="F10" s="2177"/>
      <c r="G10" s="1292"/>
      <c r="H10" s="28"/>
      <c r="I10" s="2186" t="s">
        <v>3055</v>
      </c>
      <c r="J10" s="981"/>
      <c r="K10" s="2192" t="s">
        <v>1377</v>
      </c>
      <c r="L10" s="981"/>
      <c r="M10" s="2192"/>
      <c r="N10" s="981"/>
      <c r="O10" s="2192"/>
      <c r="P10" s="981"/>
      <c r="Q10" s="2192"/>
      <c r="R10" s="981"/>
      <c r="S10" s="2192"/>
      <c r="T10" s="981"/>
      <c r="U10" s="2192"/>
      <c r="V10" s="981"/>
      <c r="W10" s="2192"/>
      <c r="X10" s="981"/>
      <c r="Y10" s="2192"/>
      <c r="Z10" s="981"/>
      <c r="AA10" s="2192"/>
      <c r="AB10" s="981"/>
      <c r="AC10" s="1292"/>
      <c r="AD10" s="15" t="s">
        <v>1903</v>
      </c>
      <c r="AE10" s="2193"/>
      <c r="AF10" s="15" t="s">
        <v>1903</v>
      </c>
      <c r="AG10" s="2193"/>
      <c r="AH10" s="15" t="s">
        <v>1904</v>
      </c>
      <c r="AI10" s="2193"/>
      <c r="AJ10" s="15" t="s">
        <v>1904</v>
      </c>
      <c r="AK10" s="2193"/>
      <c r="AL10" s="15" t="s">
        <v>1905</v>
      </c>
      <c r="AM10" s="1298"/>
      <c r="AN10" s="15" t="s">
        <v>1905</v>
      </c>
      <c r="AO10" s="1298"/>
      <c r="AP10" s="15" t="s">
        <v>1906</v>
      </c>
      <c r="AQ10" s="1298"/>
      <c r="AR10" s="15" t="s">
        <v>1906</v>
      </c>
      <c r="AS10" s="1298"/>
      <c r="AT10" s="2177"/>
      <c r="AU10" s="2177"/>
      <c r="AV10" s="1292"/>
      <c r="AW10" s="2160"/>
      <c r="AX10" s="1292"/>
      <c r="AY10" s="28"/>
      <c r="AZ10" s="28"/>
      <c r="BA10" s="2194" t="s">
        <v>1897</v>
      </c>
      <c r="BB10" s="2195" t="str">
        <f>I9</f>
        <v>地上</v>
      </c>
      <c r="BC10" s="29" t="str">
        <f>K9</f>
        <v>地上</v>
      </c>
      <c r="BD10" s="29">
        <f>M9</f>
        <v>0</v>
      </c>
      <c r="BE10" s="29">
        <f>O9</f>
        <v>0</v>
      </c>
      <c r="BF10" s="29">
        <f>Q9</f>
        <v>0</v>
      </c>
      <c r="BG10" s="29">
        <f>S9</f>
        <v>0</v>
      </c>
      <c r="BH10" s="29">
        <f>U9</f>
        <v>0</v>
      </c>
      <c r="BI10" s="29">
        <f>W9</f>
        <v>0</v>
      </c>
      <c r="BJ10" s="29">
        <f>Y9</f>
        <v>0</v>
      </c>
      <c r="BK10" s="29">
        <f>AA9</f>
        <v>0</v>
      </c>
      <c r="BL10" s="25" t="s">
        <v>1897</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3.2">
      <c r="A11" s="2177"/>
      <c r="B11" s="2177"/>
      <c r="C11" s="2177"/>
      <c r="D11" s="2177"/>
      <c r="E11" s="2177"/>
      <c r="F11" s="2177"/>
      <c r="G11" s="1292"/>
      <c r="H11" s="2194"/>
      <c r="I11" s="2197" t="s">
        <v>3056</v>
      </c>
      <c r="J11" s="2198"/>
      <c r="K11" s="2197" t="s">
        <v>3057</v>
      </c>
      <c r="L11" s="2198"/>
      <c r="M11" s="2197"/>
      <c r="N11" s="2198"/>
      <c r="O11" s="2197"/>
      <c r="P11" s="2198"/>
      <c r="Q11" s="2197"/>
      <c r="R11" s="2198"/>
      <c r="S11" s="2197"/>
      <c r="T11" s="2198"/>
      <c r="U11" s="2197"/>
      <c r="V11" s="2198"/>
      <c r="W11" s="2197"/>
      <c r="X11" s="2198"/>
      <c r="Y11" s="2197"/>
      <c r="Z11" s="2198"/>
      <c r="AA11" s="2197"/>
      <c r="AB11" s="2198"/>
      <c r="AC11" s="1292"/>
      <c r="AD11" s="2199" t="s">
        <v>1907</v>
      </c>
      <c r="AE11" s="1817"/>
      <c r="AF11" s="2199" t="s">
        <v>1907</v>
      </c>
      <c r="AG11" s="1817"/>
      <c r="AH11" s="2199" t="s">
        <v>1908</v>
      </c>
      <c r="AI11" s="2200"/>
      <c r="AJ11" s="2199" t="s">
        <v>1908</v>
      </c>
      <c r="AK11" s="1817"/>
      <c r="AL11" s="1815"/>
      <c r="AM11" s="1817"/>
      <c r="AN11" s="1815"/>
      <c r="AO11" s="1817"/>
      <c r="AP11" s="1815"/>
      <c r="AQ11" s="1817"/>
      <c r="AR11" s="1815"/>
      <c r="AS11" s="1817"/>
      <c r="AT11" s="2160"/>
      <c r="AU11" s="2177"/>
      <c r="AV11" s="1292"/>
      <c r="AW11" s="2160"/>
      <c r="AX11" s="1292"/>
      <c r="AY11" s="28"/>
      <c r="AZ11" s="28"/>
      <c r="BA11" s="28"/>
      <c r="BB11" s="2182" t="str">
        <f>I10</f>
        <v>住宅</v>
      </c>
      <c r="BC11" s="2182" t="str">
        <f>K10</f>
        <v>商业</v>
      </c>
      <c r="BD11" s="2182">
        <f>M10</f>
        <v>0</v>
      </c>
      <c r="BE11" s="2182">
        <f>O10</f>
        <v>0</v>
      </c>
      <c r="BF11" s="2182">
        <f>Q10</f>
        <v>0</v>
      </c>
      <c r="BG11" s="2182">
        <f>S10</f>
        <v>0</v>
      </c>
      <c r="BH11" s="2182">
        <f>U10</f>
        <v>0</v>
      </c>
      <c r="BI11" s="2182">
        <f>W10</f>
        <v>0</v>
      </c>
      <c r="BJ11" s="2182">
        <f>Y10</f>
        <v>0</v>
      </c>
      <c r="BK11" s="2182">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4"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0" t="s">
        <v>1910</v>
      </c>
      <c r="W12" s="11" t="s">
        <v>1909</v>
      </c>
      <c r="X12" s="11" t="s">
        <v>1910</v>
      </c>
      <c r="Y12" s="11" t="s">
        <v>1909</v>
      </c>
      <c r="Z12" s="11" t="s">
        <v>1910</v>
      </c>
      <c r="AA12" s="11" t="s">
        <v>1909</v>
      </c>
      <c r="AB12" s="11" t="s">
        <v>1910</v>
      </c>
      <c r="AC12" s="2204"/>
      <c r="AD12" s="1804"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普通住宅</v>
      </c>
      <c r="BC12" s="2207" t="str">
        <f>K11</f>
        <v>底商</v>
      </c>
      <c r="BD12" s="2207">
        <f>M11</f>
        <v>0</v>
      </c>
      <c r="BE12" s="2182">
        <f>O11</f>
        <v>0</v>
      </c>
      <c r="BF12" s="2182">
        <f>Q11</f>
        <v>0</v>
      </c>
      <c r="BG12" s="2182">
        <f>S11</f>
        <v>0</v>
      </c>
      <c r="BH12" s="2182">
        <f>U11</f>
        <v>0</v>
      </c>
      <c r="BI12" s="2182">
        <f>W11</f>
        <v>0</v>
      </c>
      <c r="BJ12" s="2182">
        <f>Y11</f>
        <v>0</v>
      </c>
      <c r="BK12" s="2182">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3.2">
      <c r="A13" s="2949"/>
      <c r="B13" s="1272"/>
      <c r="C13" s="2948"/>
      <c r="D13" s="2208" t="s">
        <v>3058</v>
      </c>
      <c r="E13" s="16">
        <f>IF($C$3="是",ROUND($A$3*G13/$B$3,2),ROUND($A$3*(G13-AT13)/$B$3,2))</f>
        <v>0</v>
      </c>
      <c r="F13" s="32"/>
      <c r="G13" s="33">
        <f>H13+AC13+AT13</f>
        <v>49782.53</v>
      </c>
      <c r="H13" s="20">
        <f>SUMIF(I$12:AB$12,"总值",I13:AB13)</f>
        <v>49782.53</v>
      </c>
      <c r="I13" s="2209">
        <v>49782.53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28191.57</v>
      </c>
      <c r="AZ13" s="16">
        <f>BA13+BL13</f>
        <v>49782.53</v>
      </c>
      <c r="BA13" s="16">
        <f>SUM(BB13:BK13)</f>
        <v>49782.53</v>
      </c>
      <c r="BB13" s="16">
        <f>IF($D13="是",I13-J13,0)</f>
        <v>49782.53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2">
      <c r="A14" s="2949"/>
      <c r="B14" s="1272"/>
      <c r="C14" s="29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2949"/>
      <c r="B15" s="1272"/>
      <c r="C15" s="29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2949"/>
      <c r="B16" s="1272"/>
      <c r="C16" s="29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2949"/>
      <c r="B17" s="1272"/>
      <c r="C17" s="29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9"/>
      <c r="B18" s="1272"/>
      <c r="C18" s="2948"/>
      <c r="D18" s="2208"/>
      <c r="E18" s="35">
        <f t="shared" ref="E18:E112" si="7">IF($C$3="是",ROUND($A$3*G18/$B$3,2),ROUND($A$3*(G18-AT18)/$B$3,2))</f>
        <v>0</v>
      </c>
      <c r="F18" s="36"/>
      <c r="G18" s="37">
        <f t="shared" ref="G18:G109" si="8">H18+AC18+AT18</f>
        <v>0</v>
      </c>
      <c r="H18" s="38">
        <f t="shared" ref="H18:H109" si="9">SUMIF(I$12:AB$12,"总值",I18:AB18)</f>
        <v>0</v>
      </c>
      <c r="I18" s="220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9"/>
      <c r="B19" s="1272"/>
      <c r="C19" s="2948"/>
      <c r="D19" s="2208"/>
      <c r="E19" s="35">
        <f t="shared" si="7"/>
        <v>0</v>
      </c>
      <c r="F19" s="36"/>
      <c r="G19" s="37">
        <f t="shared" si="8"/>
        <v>0</v>
      </c>
      <c r="H19" s="38">
        <f t="shared" si="9"/>
        <v>0</v>
      </c>
      <c r="I19" s="220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9"/>
      <c r="B20" s="1272"/>
      <c r="C20" s="2948"/>
      <c r="D20" s="2208"/>
      <c r="E20" s="35">
        <f t="shared" si="7"/>
        <v>0</v>
      </c>
      <c r="F20" s="36"/>
      <c r="G20" s="37">
        <f t="shared" si="8"/>
        <v>0</v>
      </c>
      <c r="H20" s="38">
        <f t="shared" si="9"/>
        <v>0</v>
      </c>
      <c r="I20" s="220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9"/>
      <c r="B21" s="1272"/>
      <c r="C21" s="2948"/>
      <c r="D21" s="2208"/>
      <c r="E21" s="35">
        <f t="shared" si="7"/>
        <v>0</v>
      </c>
      <c r="F21" s="36"/>
      <c r="G21" s="37">
        <f t="shared" si="8"/>
        <v>0</v>
      </c>
      <c r="H21" s="38">
        <f t="shared" si="9"/>
        <v>0</v>
      </c>
      <c r="I21" s="220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9"/>
      <c r="B22" s="1272"/>
      <c r="C22" s="2948"/>
      <c r="D22" s="2208"/>
      <c r="E22" s="35">
        <f t="shared" si="7"/>
        <v>0</v>
      </c>
      <c r="F22" s="36"/>
      <c r="G22" s="37">
        <f t="shared" si="8"/>
        <v>0</v>
      </c>
      <c r="H22" s="38">
        <f t="shared" si="9"/>
        <v>0</v>
      </c>
      <c r="I22" s="220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9"/>
      <c r="B23" s="1272"/>
      <c r="C23" s="2948"/>
      <c r="D23" s="2208"/>
      <c r="E23" s="35">
        <f t="shared" si="7"/>
        <v>0</v>
      </c>
      <c r="F23" s="36"/>
      <c r="G23" s="37">
        <f t="shared" si="8"/>
        <v>0</v>
      </c>
      <c r="H23" s="38">
        <f t="shared" si="9"/>
        <v>0</v>
      </c>
      <c r="I23" s="220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49"/>
      <c r="B24" s="1272"/>
      <c r="C24" s="2948"/>
      <c r="D24" s="2208"/>
      <c r="E24" s="35">
        <f t="shared" si="7"/>
        <v>0</v>
      </c>
      <c r="F24" s="36"/>
      <c r="G24" s="37">
        <f t="shared" si="8"/>
        <v>0</v>
      </c>
      <c r="H24" s="38">
        <f t="shared" si="9"/>
        <v>0</v>
      </c>
      <c r="I24" s="220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49"/>
      <c r="B25" s="1272"/>
      <c r="C25" s="2948"/>
      <c r="D25" s="2208"/>
      <c r="E25" s="35">
        <f t="shared" si="7"/>
        <v>0</v>
      </c>
      <c r="F25" s="36"/>
      <c r="G25" s="37">
        <f t="shared" si="8"/>
        <v>0</v>
      </c>
      <c r="H25" s="38">
        <f t="shared" si="9"/>
        <v>0</v>
      </c>
      <c r="I25" s="220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49"/>
      <c r="B26" s="1272"/>
      <c r="C26" s="2948"/>
      <c r="D26" s="2208"/>
      <c r="E26" s="35">
        <f t="shared" si="7"/>
        <v>0</v>
      </c>
      <c r="F26" s="36"/>
      <c r="G26" s="37">
        <f t="shared" si="8"/>
        <v>0</v>
      </c>
      <c r="H26" s="38">
        <f t="shared" si="9"/>
        <v>0</v>
      </c>
      <c r="I26" s="220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49"/>
      <c r="B27" s="1272"/>
      <c r="C27" s="2948"/>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2949"/>
      <c r="B28" s="1272"/>
      <c r="C28" s="2948"/>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49"/>
      <c r="B29" s="34"/>
      <c r="C29" s="2948"/>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2949"/>
      <c r="B30" s="34"/>
      <c r="C30" s="2948"/>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2949"/>
      <c r="B31" s="34"/>
      <c r="C31" s="2948"/>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2949"/>
      <c r="B32" s="34"/>
      <c r="C32" s="2948"/>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
      <c r="A33" s="2950"/>
      <c r="B33" s="34"/>
      <c r="C33" s="2947"/>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
      <c r="A34" s="2950"/>
      <c r="B34" s="34"/>
      <c r="C34" s="2947"/>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
      <c r="A35" s="2950"/>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
      <c r="A36" s="2950"/>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
      <c r="A37" s="2950"/>
      <c r="B37" s="34"/>
      <c r="C37" s="2951"/>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2952"/>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
      <c r="A38" s="2950"/>
      <c r="B38" s="34"/>
      <c r="C38" s="2951"/>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7.6">
      <c r="A42" s="2950" t="s">
        <v>3060</v>
      </c>
      <c r="B42" s="2951" t="s">
        <v>3061</v>
      </c>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t="str">
        <f t="shared" si="11"/>
        <v>总土地</v>
      </c>
      <c r="AW42" s="1793" t="str">
        <f t="shared" si="12"/>
        <v>总地上建筑</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2955">
        <v>67304.399999999994</v>
      </c>
      <c r="B43" s="34">
        <v>118850.52</v>
      </c>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67304.399999999994</v>
      </c>
      <c r="AW43" s="1793">
        <f t="shared" si="12"/>
        <v>118850.52</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46.8">
      <c r="A3" s="3044"/>
      <c r="B3" s="3044"/>
      <c r="C3" s="3044"/>
      <c r="D3" s="3045"/>
      <c r="E3" s="304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1936</v>
      </c>
      <c r="B1" s="1391"/>
      <c r="C1" s="1391"/>
      <c r="D1" s="1391"/>
      <c r="E1" s="1391"/>
      <c r="F1" s="1391"/>
      <c r="G1" s="1391"/>
      <c r="H1" s="1391"/>
      <c r="I1" s="1391"/>
      <c r="J1" s="1391"/>
      <c r="K1" s="1391"/>
      <c r="L1" s="1391"/>
      <c r="M1" s="1391"/>
      <c r="N1" s="1391"/>
      <c r="O1" s="1391"/>
      <c r="P1" s="1391"/>
    </row>
    <row r="2" spans="1:16" ht="14.4">
      <c r="A2" s="3055" t="s">
        <v>1937</v>
      </c>
      <c r="B2" s="3055"/>
      <c r="C2" s="3055"/>
      <c r="D2" s="967" t="s">
        <v>1913</v>
      </c>
      <c r="E2" s="2222" t="s">
        <v>1914</v>
      </c>
      <c r="F2" s="1391"/>
      <c r="G2" s="2223"/>
      <c r="H2" s="2224"/>
      <c r="I2" s="2225" t="s">
        <v>1938</v>
      </c>
      <c r="J2" s="1391"/>
      <c r="K2" s="1391"/>
      <c r="L2" s="1391"/>
      <c r="M2" s="1391"/>
      <c r="N2" s="1426"/>
      <c r="O2" s="1391"/>
      <c r="P2" s="1391"/>
    </row>
    <row r="3" spans="1:16" ht="15" thickBot="1">
      <c r="A3" s="3056" t="s">
        <v>1911</v>
      </c>
      <c r="B3" s="3056"/>
      <c r="C3" s="3056"/>
      <c r="D3" s="46">
        <f>'数据-基础表'!AY6</f>
        <v>28191.57</v>
      </c>
      <c r="E3" s="46">
        <f>'数据-基础表'!AZ5</f>
        <v>49782.53</v>
      </c>
      <c r="F3" s="1391"/>
      <c r="G3" s="1398"/>
      <c r="H3" s="1247" t="s">
        <v>1912</v>
      </c>
      <c r="I3" s="55" t="e">
        <f>ROUND('数据-基础表'!B3/'数据-基础表'!A3,2)</f>
        <v>#DIV/0!</v>
      </c>
      <c r="J3" s="1391"/>
      <c r="K3" s="1391"/>
      <c r="L3" s="1391"/>
      <c r="M3" s="1391"/>
      <c r="N3" s="1426"/>
      <c r="O3" s="1391"/>
      <c r="P3" s="1391"/>
    </row>
    <row r="4" spans="1:16" ht="14.4">
      <c r="A4" s="3057"/>
      <c r="B4" s="3058"/>
      <c r="C4" s="3059"/>
      <c r="D4" s="2226" t="s">
        <v>1913</v>
      </c>
      <c r="E4" s="2227" t="s">
        <v>1914</v>
      </c>
      <c r="F4" s="1391"/>
      <c r="G4" s="2228" t="s">
        <v>1939</v>
      </c>
      <c r="H4" s="1247" t="s">
        <v>1919</v>
      </c>
      <c r="I4" s="55" t="e">
        <f>ROUND(SUMIF('数据-基础表'!I9:AS9,"地上",'数据-基础表'!I5:AS5)/'数据-基础表'!A3,2)</f>
        <v>#DIV/0!</v>
      </c>
      <c r="J4" s="1391"/>
      <c r="K4" s="1391"/>
      <c r="L4" s="1391"/>
      <c r="M4" s="1391"/>
      <c r="N4" s="1426"/>
      <c r="O4" s="1391"/>
      <c r="P4" s="1391"/>
    </row>
    <row r="5" spans="1:16" ht="14.4">
      <c r="A5" s="47" t="s">
        <v>1915</v>
      </c>
      <c r="B5" s="3060" t="s">
        <v>1916</v>
      </c>
      <c r="C5" s="3060"/>
      <c r="D5" s="48">
        <f>ROUND($D$3*E5/$E$3,2)</f>
        <v>28191.57</v>
      </c>
      <c r="E5" s="49">
        <f>SUMIF('数据-基础表'!$11:$11,"住宅",'数据-基础表'!$5:$5)</f>
        <v>49782.53</v>
      </c>
      <c r="F5" s="1391"/>
      <c r="G5" s="1398"/>
      <c r="H5" s="1247" t="s">
        <v>1912</v>
      </c>
      <c r="I5" s="55">
        <f>ROUND(E31/D31,2)</f>
        <v>1.77</v>
      </c>
      <c r="J5" s="1391"/>
      <c r="K5" s="1391"/>
      <c r="L5" s="1391"/>
      <c r="M5" s="1391"/>
      <c r="N5" s="1391"/>
      <c r="O5" s="1391"/>
      <c r="P5" s="1391"/>
    </row>
    <row r="6" spans="1:16" ht="15" thickBot="1">
      <c r="A6" s="2229"/>
      <c r="B6" s="3060" t="s">
        <v>1917</v>
      </c>
      <c r="C6" s="3060"/>
      <c r="D6" s="48">
        <f>ROUND($D$3*E6/$E$3,2)</f>
        <v>0</v>
      </c>
      <c r="E6" s="49">
        <f>E3-E5</f>
        <v>0</v>
      </c>
      <c r="F6" s="1391"/>
      <c r="G6" s="2230" t="s">
        <v>1918</v>
      </c>
      <c r="H6" s="1398" t="s">
        <v>1919</v>
      </c>
      <c r="I6" s="939">
        <f>ROUND(F31/D31,2)</f>
        <v>1.77</v>
      </c>
      <c r="J6" s="1391"/>
      <c r="K6" s="1391"/>
      <c r="L6" s="1391"/>
      <c r="M6" s="1391"/>
      <c r="N6" s="1391"/>
      <c r="O6" s="1391"/>
      <c r="P6" s="1391"/>
    </row>
    <row r="7" spans="1:16" ht="14.4">
      <c r="A7" s="3052"/>
      <c r="B7" s="3053"/>
      <c r="C7" s="3054"/>
      <c r="D7" s="2226" t="s">
        <v>1913</v>
      </c>
      <c r="E7" s="2231" t="s">
        <v>1920</v>
      </c>
      <c r="F7" s="1391"/>
      <c r="G7" s="2223" t="s">
        <v>1921</v>
      </c>
      <c r="H7" s="64"/>
      <c r="I7" s="420"/>
      <c r="J7" s="1391"/>
      <c r="K7" s="1391"/>
      <c r="L7" s="1391"/>
      <c r="M7" s="1391"/>
      <c r="N7" s="1391"/>
      <c r="O7" s="1391"/>
      <c r="P7" s="1391"/>
    </row>
    <row r="8" spans="1:16" ht="14.4">
      <c r="A8" s="47" t="s">
        <v>1922</v>
      </c>
      <c r="B8" s="50" t="s">
        <v>1923</v>
      </c>
      <c r="C8" s="48" t="s">
        <v>1924</v>
      </c>
      <c r="D8" s="48">
        <f t="shared" ref="D8:D15" si="0">ROUND($D$3*E8/$E$3,2)</f>
        <v>28191.57</v>
      </c>
      <c r="E8" s="51">
        <f>SUMIF('数据-基础表'!BB10:BK10,"地上",'数据-基础表'!BB5:BK5)</f>
        <v>49782.53</v>
      </c>
      <c r="F8" s="1391"/>
      <c r="G8" s="2232"/>
      <c r="H8" s="2232"/>
      <c r="I8" s="1391"/>
      <c r="J8" s="1391"/>
      <c r="K8" s="1391"/>
      <c r="L8" s="1391"/>
      <c r="M8" s="1391"/>
      <c r="N8" s="1391"/>
      <c r="O8" s="1391"/>
      <c r="P8" s="1391"/>
    </row>
    <row r="9" spans="1:16" ht="14.4">
      <c r="A9" s="2233"/>
      <c r="B9" s="2234"/>
      <c r="C9" s="48" t="s">
        <v>1925</v>
      </c>
      <c r="D9" s="48">
        <f t="shared" si="0"/>
        <v>0</v>
      </c>
      <c r="E9" s="52">
        <v>0</v>
      </c>
      <c r="F9" s="1391"/>
      <c r="G9" s="2232"/>
      <c r="H9" s="2232"/>
      <c r="I9" s="1391"/>
      <c r="J9" s="1391"/>
      <c r="K9" s="1391"/>
      <c r="L9" s="1391"/>
      <c r="M9" s="1391"/>
      <c r="N9" s="1391"/>
      <c r="O9" s="1391"/>
      <c r="P9" s="1391"/>
    </row>
    <row r="10" spans="1:16" ht="14.4">
      <c r="A10" s="2233"/>
      <c r="B10" s="2234"/>
      <c r="C10" s="48" t="s">
        <v>1934</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ht="14.4">
      <c r="A11" s="2233"/>
      <c r="B11" s="2234"/>
      <c r="C11" s="48" t="s">
        <v>1926</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ht="14.4">
      <c r="A12" s="2233"/>
      <c r="B12" s="2234"/>
      <c r="C12" s="48" t="s">
        <v>1927</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ht="14.4">
      <c r="A13" s="2233"/>
      <c r="B13" s="2234"/>
      <c r="C13" s="48" t="s">
        <v>1928</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ht="14.4">
      <c r="A14" s="2233"/>
      <c r="B14" s="2234"/>
      <c r="C14" s="48" t="s">
        <v>1940</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1935</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 thickBot="1">
      <c r="A16" s="2229"/>
      <c r="B16" s="2234"/>
      <c r="C16" s="50" t="s">
        <v>1929</v>
      </c>
      <c r="D16" s="50">
        <f>SUM(D8:D15)</f>
        <v>28191.57</v>
      </c>
      <c r="E16" s="53">
        <f>SUM(E8:E15)</f>
        <v>49782.53</v>
      </c>
      <c r="F16" s="1391"/>
      <c r="G16" s="2232"/>
      <c r="H16" s="2235" t="s">
        <v>1941</v>
      </c>
      <c r="I16" s="2236"/>
      <c r="J16" s="1391"/>
      <c r="K16" s="3049" t="s">
        <v>1941</v>
      </c>
      <c r="L16" s="3050"/>
      <c r="M16" s="3050"/>
      <c r="N16" s="3050"/>
      <c r="O16" s="3050"/>
      <c r="P16" s="3051"/>
    </row>
    <row r="17" spans="1:19" ht="14.4">
      <c r="A17" s="2237" t="s">
        <v>1942</v>
      </c>
      <c r="B17" s="2238" t="s">
        <v>1943</v>
      </c>
      <c r="C17" s="2239" t="s">
        <v>1944</v>
      </c>
      <c r="D17" s="2240" t="s">
        <v>1932</v>
      </c>
      <c r="E17" s="2241" t="s">
        <v>1933</v>
      </c>
      <c r="F17" s="2242"/>
      <c r="G17" s="2243"/>
      <c r="H17" s="2244" t="s">
        <v>1945</v>
      </c>
      <c r="I17" s="2245" t="s">
        <v>1930</v>
      </c>
      <c r="J17" s="1391"/>
      <c r="K17" s="3046" t="s">
        <v>1946</v>
      </c>
      <c r="L17" s="3047"/>
      <c r="M17" s="3048"/>
      <c r="N17" s="3046" t="s">
        <v>1947</v>
      </c>
      <c r="O17" s="3047"/>
      <c r="P17" s="3048"/>
      <c r="R17" s="2223" t="s">
        <v>1948</v>
      </c>
      <c r="S17" s="64"/>
    </row>
    <row r="18" spans="1:19" ht="14.4">
      <c r="A18" s="2233"/>
      <c r="B18" s="2246"/>
      <c r="C18" s="2247"/>
      <c r="D18" s="2248"/>
      <c r="E18" s="2249" t="s">
        <v>1949</v>
      </c>
      <c r="F18" s="2250" t="s">
        <v>1950</v>
      </c>
      <c r="G18" s="2251" t="s">
        <v>1951</v>
      </c>
      <c r="H18" s="1262" t="s">
        <v>1952</v>
      </c>
      <c r="I18" s="2252" t="s">
        <v>1953</v>
      </c>
      <c r="J18" s="1391"/>
      <c r="K18" s="1262" t="s">
        <v>1954</v>
      </c>
      <c r="L18" s="2253" t="s">
        <v>1955</v>
      </c>
      <c r="M18" s="1046" t="s">
        <v>1956</v>
      </c>
      <c r="N18" s="1262" t="s">
        <v>1954</v>
      </c>
      <c r="O18" s="2253" t="s">
        <v>1955</v>
      </c>
      <c r="P18" s="1046" t="s">
        <v>1956</v>
      </c>
      <c r="R18" s="1247" t="s">
        <v>1957</v>
      </c>
      <c r="S18" s="1247" t="s">
        <v>1958</v>
      </c>
    </row>
    <row r="19" spans="1:19" ht="14.4">
      <c r="A19" s="2254"/>
      <c r="B19" s="50" t="s">
        <v>1931</v>
      </c>
      <c r="C19" s="2953" t="s">
        <v>3059</v>
      </c>
      <c r="D19" s="48">
        <f>ROUND($D$3*E19/$E$3,2)</f>
        <v>28191.57</v>
      </c>
      <c r="E19" s="56">
        <f t="shared" ref="E19:E26" si="1">SUM(F19:G19)</f>
        <v>49782.53</v>
      </c>
      <c r="F19" s="57">
        <f>'数据-基础表'!I5</f>
        <v>49782.53</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5"/>
      <c r="O19" s="2256"/>
      <c r="P19" s="1402">
        <f>N19+O19</f>
        <v>0</v>
      </c>
      <c r="R19" s="1247">
        <f t="shared" ref="R19:S26" si="5">D19+H19</f>
        <v>28191.57</v>
      </c>
      <c r="S19" s="1248">
        <f t="shared" si="5"/>
        <v>49782.53</v>
      </c>
    </row>
    <row r="20" spans="1:19" ht="14.4">
      <c r="A20" s="2257"/>
      <c r="B20" s="50" t="s">
        <v>1959</v>
      </c>
      <c r="C20" s="2953" t="s">
        <v>3063</v>
      </c>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5"/>
      <c r="O20" s="2256"/>
      <c r="P20" s="1402">
        <f t="shared" ref="P20:P26" si="9">N20+O20</f>
        <v>0</v>
      </c>
      <c r="R20" s="1247">
        <f t="shared" si="5"/>
        <v>0</v>
      </c>
      <c r="S20" s="1248">
        <f t="shared" si="5"/>
        <v>0</v>
      </c>
    </row>
    <row r="21" spans="1:19" ht="14.4">
      <c r="A21" s="2257"/>
      <c r="B21" s="50" t="s">
        <v>1959</v>
      </c>
      <c r="C21" s="2953" t="s">
        <v>3065</v>
      </c>
      <c r="D21" s="48">
        <f t="shared" si="6"/>
        <v>0</v>
      </c>
      <c r="E21" s="56">
        <f t="shared" si="1"/>
        <v>0</v>
      </c>
      <c r="F21" s="57"/>
      <c r="G21" s="58"/>
      <c r="H21" s="723">
        <f t="shared" si="7"/>
        <v>0</v>
      </c>
      <c r="I21" s="51">
        <f t="shared" si="2"/>
        <v>0</v>
      </c>
      <c r="J21" s="1391"/>
      <c r="K21" s="1390">
        <f t="shared" si="3"/>
        <v>0</v>
      </c>
      <c r="L21" s="1247">
        <f t="shared" si="4"/>
        <v>0</v>
      </c>
      <c r="M21" s="1402">
        <f t="shared" si="8"/>
        <v>0</v>
      </c>
      <c r="N21" s="2255"/>
      <c r="O21" s="2256"/>
      <c r="P21" s="1402">
        <f t="shared" si="9"/>
        <v>0</v>
      </c>
      <c r="R21" s="1247">
        <f t="shared" si="5"/>
        <v>0</v>
      </c>
      <c r="S21" s="1248">
        <f t="shared" si="5"/>
        <v>0</v>
      </c>
    </row>
    <row r="22" spans="1:19" ht="14.4">
      <c r="A22" s="2257"/>
      <c r="B22" s="50" t="s">
        <v>1959</v>
      </c>
      <c r="C22" s="2954"/>
      <c r="D22" s="48">
        <f t="shared" si="6"/>
        <v>0</v>
      </c>
      <c r="E22" s="56">
        <f t="shared" si="1"/>
        <v>0</v>
      </c>
      <c r="F22" s="61"/>
      <c r="G22" s="62"/>
      <c r="H22" s="723">
        <f t="shared" si="7"/>
        <v>0</v>
      </c>
      <c r="I22" s="51">
        <f t="shared" si="2"/>
        <v>0</v>
      </c>
      <c r="J22" s="1391"/>
      <c r="K22" s="1390">
        <f t="shared" si="3"/>
        <v>0</v>
      </c>
      <c r="L22" s="1247">
        <f t="shared" si="4"/>
        <v>0</v>
      </c>
      <c r="M22" s="1402">
        <f t="shared" si="8"/>
        <v>0</v>
      </c>
      <c r="N22" s="2255"/>
      <c r="O22" s="2256"/>
      <c r="P22" s="1402">
        <f t="shared" si="9"/>
        <v>0</v>
      </c>
      <c r="R22" s="1247">
        <f t="shared" si="5"/>
        <v>0</v>
      </c>
      <c r="S22" s="1248">
        <f t="shared" si="5"/>
        <v>0</v>
      </c>
    </row>
    <row r="23" spans="1:19" ht="14.4">
      <c r="A23" s="2257"/>
      <c r="B23" s="50" t="s">
        <v>1959</v>
      </c>
      <c r="C23" s="2954"/>
      <c r="D23" s="48">
        <f>ROUND($D$3*E23/$E$3,2)</f>
        <v>0</v>
      </c>
      <c r="E23" s="56">
        <f>SUM(F23:G23)</f>
        <v>0</v>
      </c>
      <c r="F23" s="61"/>
      <c r="G23" s="62"/>
      <c r="H23" s="723">
        <f>ROUND($D$3*I23/$E$3,2)</f>
        <v>0</v>
      </c>
      <c r="I23" s="51">
        <f t="shared" si="2"/>
        <v>0</v>
      </c>
      <c r="J23" s="1391"/>
      <c r="K23" s="1390">
        <f t="shared" si="3"/>
        <v>0</v>
      </c>
      <c r="L23" s="1247">
        <f t="shared" si="4"/>
        <v>0</v>
      </c>
      <c r="M23" s="1402">
        <f t="shared" si="8"/>
        <v>0</v>
      </c>
      <c r="N23" s="2255"/>
      <c r="O23" s="2256"/>
      <c r="P23" s="1402">
        <f t="shared" si="9"/>
        <v>0</v>
      </c>
      <c r="R23" s="1247">
        <f t="shared" si="5"/>
        <v>0</v>
      </c>
      <c r="S23" s="1248">
        <f t="shared" si="5"/>
        <v>0</v>
      </c>
    </row>
    <row r="24" spans="1:19" ht="14.4">
      <c r="A24" s="2257"/>
      <c r="B24" s="50" t="s">
        <v>1959</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5"/>
      <c r="O24" s="2256"/>
      <c r="P24" s="1402">
        <f t="shared" si="9"/>
        <v>0</v>
      </c>
      <c r="R24" s="1247">
        <f t="shared" si="5"/>
        <v>0</v>
      </c>
      <c r="S24" s="1248">
        <f t="shared" si="5"/>
        <v>0</v>
      </c>
    </row>
    <row r="25" spans="1:19" ht="14.4">
      <c r="A25" s="2257"/>
      <c r="B25" s="50" t="s">
        <v>1959</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5"/>
      <c r="O25" s="2256"/>
      <c r="P25" s="1402">
        <f t="shared" si="9"/>
        <v>0</v>
      </c>
      <c r="R25" s="1247">
        <f t="shared" si="5"/>
        <v>0</v>
      </c>
      <c r="S25" s="1248">
        <f t="shared" si="5"/>
        <v>0</v>
      </c>
    </row>
    <row r="26" spans="1:19" ht="14.4">
      <c r="A26" s="2257"/>
      <c r="B26" s="50" t="s">
        <v>1959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7">
        <f t="shared" si="5"/>
        <v>0</v>
      </c>
      <c r="S26" s="1248">
        <f t="shared" si="5"/>
        <v>0</v>
      </c>
    </row>
    <row r="27" spans="1:19" ht="15" thickBot="1">
      <c r="A27" s="2257"/>
      <c r="B27" s="48"/>
      <c r="C27" s="2260" t="s">
        <v>1960</v>
      </c>
      <c r="D27" s="1392">
        <f>SUM(D19:D26)</f>
        <v>28191.57</v>
      </c>
      <c r="E27" s="1393">
        <f>IF(SUM(E19:E26)='数据-基础表'!BA5,SUM(E19:E26),IF(F27="地上面积有误","面积有误","地下面积有误"))</f>
        <v>49782.53</v>
      </c>
      <c r="F27" s="1392">
        <f>IF(SUM(F19:F26)=E8,SUM(F19:F26),"地上面积有误")</f>
        <v>49782.53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28191.57</v>
      </c>
      <c r="S27" s="1247">
        <f>IF(SUM(S19:S26)=$E$3,SUM(S19:S26),SUM(S19:S26)&amp;"误差"&amp;ROUND(SUM(S19:S26)-E3,2))</f>
        <v>49782.53</v>
      </c>
    </row>
    <row r="28" spans="1:19" ht="14.4">
      <c r="A28" s="2257"/>
      <c r="B28" s="50" t="s">
        <v>1961</v>
      </c>
      <c r="C28" s="1259" t="s">
        <v>1962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7"/>
      <c r="B29" s="50" t="s">
        <v>1961</v>
      </c>
      <c r="C29" s="2261" t="s">
        <v>1963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7"/>
      <c r="B30" s="50"/>
      <c r="C30" s="2262" t="s">
        <v>1960</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3"/>
      <c r="B31" s="2264"/>
      <c r="C31" s="1007" t="s">
        <v>1964</v>
      </c>
      <c r="D31" s="729">
        <f>D27+D30</f>
        <v>28191.57</v>
      </c>
      <c r="E31" s="729">
        <f>E27+E30</f>
        <v>49782.53</v>
      </c>
      <c r="F31" s="730">
        <f>F27+F30</f>
        <v>49782.53</v>
      </c>
      <c r="G31" s="731">
        <f>G27+G30</f>
        <v>0</v>
      </c>
      <c r="H31" s="1391"/>
      <c r="I31" s="1391"/>
      <c r="J31" s="1391"/>
      <c r="K31" s="1391"/>
      <c r="L31" s="1391"/>
      <c r="M31" s="1391"/>
      <c r="N31" s="1391"/>
      <c r="O31" s="1391"/>
      <c r="P31" s="1391"/>
    </row>
    <row r="32" spans="1:19" ht="14.4">
      <c r="A32" s="2228"/>
      <c r="B32" s="2228" t="s">
        <v>1965</v>
      </c>
      <c r="C32" s="2228"/>
      <c r="D32" s="2228"/>
      <c r="E32" s="1274">
        <f>SUMIF(C19:C26,"*住宅*",E19:E26)</f>
        <v>49782.53</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AA6" sqref="AA6"/>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1966</v>
      </c>
      <c r="B1" s="732"/>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0" t="s">
        <v>1967</v>
      </c>
      <c r="B2" s="1266">
        <f>项目基本情况!D3</f>
        <v>43342</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57.6">
      <c r="A5" s="2283" t="s">
        <v>1974</v>
      </c>
      <c r="B5" s="2284" t="s">
        <v>1975</v>
      </c>
      <c r="C5" s="2285" t="s">
        <v>1976</v>
      </c>
      <c r="D5" s="2286" t="s">
        <v>1977</v>
      </c>
      <c r="E5" s="1268" t="s">
        <v>1978</v>
      </c>
      <c r="F5" s="2287" t="s">
        <v>1979</v>
      </c>
      <c r="G5" s="1268" t="s">
        <v>1980</v>
      </c>
      <c r="H5" s="1268" t="s">
        <v>1981</v>
      </c>
      <c r="I5" s="1268" t="s">
        <v>1982</v>
      </c>
      <c r="J5" s="2288" t="s">
        <v>1983</v>
      </c>
      <c r="K5" s="2289" t="s">
        <v>1984</v>
      </c>
      <c r="L5" s="2290" t="s">
        <v>1985</v>
      </c>
      <c r="M5" s="2291" t="s">
        <v>1986</v>
      </c>
      <c r="N5" s="2292" t="s">
        <v>1987</v>
      </c>
      <c r="O5" s="2290" t="s">
        <v>1988</v>
      </c>
      <c r="P5" s="2293" t="s">
        <v>1989</v>
      </c>
      <c r="Q5" s="69" t="s">
        <v>1990</v>
      </c>
      <c r="R5" s="2294" t="s">
        <v>1991</v>
      </c>
      <c r="S5" s="2295" t="s">
        <v>1992</v>
      </c>
      <c r="T5" s="2296" t="s">
        <v>1993</v>
      </c>
      <c r="U5" s="1267" t="s">
        <v>1994</v>
      </c>
      <c r="V5" s="1268" t="s">
        <v>1995</v>
      </c>
      <c r="W5" s="1268" t="s">
        <v>1996</v>
      </c>
      <c r="X5" s="71"/>
      <c r="Y5" s="70" t="s">
        <v>1997</v>
      </c>
      <c r="Z5" s="2297" t="s">
        <v>1994</v>
      </c>
      <c r="AA5" s="1268" t="s">
        <v>1995</v>
      </c>
      <c r="AB5" s="1268" t="s">
        <v>1996</v>
      </c>
      <c r="AC5" s="71"/>
      <c r="AD5" s="71" t="s">
        <v>1997</v>
      </c>
      <c r="AE5" s="1267" t="s">
        <v>1998</v>
      </c>
      <c r="AF5" s="1268" t="s">
        <v>1999</v>
      </c>
      <c r="AG5" s="70" t="s">
        <v>2000</v>
      </c>
      <c r="AH5" s="1267" t="s">
        <v>2001</v>
      </c>
      <c r="AI5" s="2297" t="s">
        <v>2002</v>
      </c>
      <c r="AJ5" s="2297" t="s">
        <v>2003</v>
      </c>
      <c r="AK5" s="1268" t="s">
        <v>2004</v>
      </c>
      <c r="AL5" s="1268" t="s">
        <v>2005</v>
      </c>
      <c r="AM5" s="70" t="s">
        <v>2006</v>
      </c>
      <c r="AN5" s="2298" t="s">
        <v>2007</v>
      </c>
      <c r="AO5" s="2069" t="s">
        <v>2008</v>
      </c>
      <c r="AP5" s="1249" t="s">
        <v>2009</v>
      </c>
      <c r="AQ5" s="2299" t="s">
        <v>2010</v>
      </c>
      <c r="AR5" s="2299"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3.8">
      <c r="A6" s="2300" t="str">
        <f>'数据-汇总表'!C19</f>
        <v>住宅</v>
      </c>
      <c r="B6" s="2301" t="str">
        <f>IF(A6=0,"","经营性")</f>
        <v>经营性</v>
      </c>
      <c r="C6" s="2302" t="s">
        <v>3055</v>
      </c>
      <c r="D6" s="1051">
        <f>SUMIF(项目基本情况!D$12:I$12,C6,项目基本情况!D$14:I$14)</f>
        <v>70</v>
      </c>
      <c r="E6" s="1048">
        <f>IF(B6="","",SUMIF(项目基本情况!D$12:I$12,C6,项目基本情况!D$13:I$13))</f>
        <v>68042</v>
      </c>
      <c r="F6" s="72">
        <f>SUMIF(项目基本情况!D$12:I$12,C6,项目基本情况!D$15:I$15)</f>
        <v>67.67</v>
      </c>
      <c r="G6" s="73">
        <f>IF(ISERROR(ROUND(POWER(1+H6,D6-F6)*(POWER(1+H6,F6)-1)/(POWER(1+H6,D6)-1),3)),0,ROUND(POWER(1+H6,D6-F6)*(POWER(1+H6,F6)-1)/(POWER(1+H6,D6)-1),3))</f>
        <v>0.99299999999999999</v>
      </c>
      <c r="H6" s="802">
        <v>0.04</v>
      </c>
      <c r="I6" s="802">
        <v>4.4999999999999998E-2</v>
      </c>
      <c r="J6" s="74">
        <v>8.5000000000000006E-2</v>
      </c>
      <c r="K6" s="1251">
        <f>SUMIF('数据-汇总表'!C$19:C$33,A6,'数据-汇总表'!E$19:E$33)</f>
        <v>49782.53</v>
      </c>
      <c r="L6" s="803">
        <v>2500</v>
      </c>
      <c r="M6" s="75">
        <f t="shared" ref="M6:M14" si="0">ROUND(K6*L6/10000,0)</f>
        <v>12446</v>
      </c>
      <c r="N6" s="801">
        <v>0.95</v>
      </c>
      <c r="O6" s="75">
        <f>IF($N$5="成新度","——",ROUND(M6*N6,0))</f>
        <v>11824</v>
      </c>
      <c r="P6" s="76">
        <f>IF($N$5="成新度","——",M6-O6)</f>
        <v>622</v>
      </c>
      <c r="Q6" s="804">
        <v>0.15</v>
      </c>
      <c r="R6" s="77">
        <f ca="1">SUMIF('数据-汇总表'!C$19:C$33,A6,'数据-汇总表'!R$19:R$27)</f>
        <v>28191.57</v>
      </c>
      <c r="S6" s="54">
        <f>IF('数据-汇总表'!$I$17="按面积比例",SUMIF('数据-汇总表'!C$19:C$33,A6,'数据-汇总表'!K$19:K$33),SUMIF('数据-汇总表'!C$19:C$33,A6,'数据-汇总表'!N$19:N$33))</f>
        <v>0</v>
      </c>
      <c r="T6" s="1442">
        <f>ROUND($L$14*S6/10000,0)</f>
        <v>0</v>
      </c>
      <c r="U6" s="78"/>
      <c r="V6" s="79"/>
      <c r="W6" s="79"/>
      <c r="X6" s="1261"/>
      <c r="Y6" s="80">
        <v>1</v>
      </c>
      <c r="Z6" s="81"/>
      <c r="AA6" s="74"/>
      <c r="AB6" s="74"/>
      <c r="AC6" s="1261"/>
      <c r="AD6" s="82"/>
      <c r="AE6" s="1262">
        <f ca="1">IF(AN6="",0,SUMIF(INDIRECT("'"&amp;AN6&amp;"'"&amp;"!E:E"),$AE$5,INDIRECT("'"&amp;AN6&amp;"'"&amp;"!F:F")))</f>
        <v>0</v>
      </c>
      <c r="AF6" s="1802"/>
      <c r="AG6" s="147">
        <f>IF(AF6="",0,AE6-AF6)</f>
        <v>0</v>
      </c>
      <c r="AH6" s="83"/>
      <c r="AI6" s="85"/>
      <c r="AJ6" s="86"/>
      <c r="AK6" s="87"/>
      <c r="AL6" s="88"/>
      <c r="AM6" s="89"/>
      <c r="AN6" s="2303"/>
      <c r="AO6" s="55" t="e">
        <f ca="1">SUMIF(INDIRECT("'"&amp;AN6&amp;"'"&amp;"!A:A"),"总价",INDIRECT("'"&amp;AN6&amp;"'"&amp;"!B:B"))</f>
        <v>#REF!</v>
      </c>
      <c r="AP6" s="2304">
        <f>IF(C6="住宅",K6*L6,0)</f>
        <v>124456325</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c r="A7" s="2300" t="str">
        <f>'数据-汇总表'!C20</f>
        <v>1层商业</v>
      </c>
      <c r="B7" s="2301" t="str">
        <f t="shared" ref="B7:B13" si="1">IF(A7=0,"","经营性")</f>
        <v>经营性</v>
      </c>
      <c r="C7" s="2302" t="s">
        <v>1377</v>
      </c>
      <c r="D7" s="1051">
        <f>SUMIF(项目基本情况!D$12:I$12,C7,项目基本情况!D$14:I$14)</f>
        <v>40</v>
      </c>
      <c r="E7" s="1048">
        <f>IF(B7="","",SUMIF(项目基本情况!D$12:I$12,C7,项目基本情况!D$13:I$13))</f>
        <v>57085</v>
      </c>
      <c r="F7" s="72">
        <f>SUMIF(项目基本情况!D$12:I$12,C7,项目基本情况!D$15:I$15)</f>
        <v>37.65</v>
      </c>
      <c r="G7" s="73">
        <f t="shared" ref="G7:G11" si="2">IF(ISERROR(ROUND(POWER(1+H7,D7-F7)*(POWER(1+H7,F7)-1)/(POWER(1+H7,D7)-1),3)),0,ROUND(POWER(1+H7,D7-F7)*(POWER(1+H7,F7)-1)/(POWER(1+H7,D7)-1),3))</f>
        <v>0.98199999999999998</v>
      </c>
      <c r="H7" s="802">
        <v>5.5E-2</v>
      </c>
      <c r="I7" s="802">
        <v>0.06</v>
      </c>
      <c r="J7" s="74">
        <v>8.5000000000000006E-2</v>
      </c>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3</v>
      </c>
      <c r="V7" s="79">
        <v>0.03</v>
      </c>
      <c r="W7" s="79">
        <v>0.1</v>
      </c>
      <c r="X7" s="1261"/>
      <c r="Y7" s="80">
        <f>Y6</f>
        <v>1</v>
      </c>
      <c r="Z7" s="81"/>
      <c r="AA7" s="74"/>
      <c r="AB7" s="74"/>
      <c r="AC7" s="1261"/>
      <c r="AD7" s="82"/>
      <c r="AE7" s="1262">
        <f t="shared" ref="AE7:AE13" ca="1" si="6">IF(AN7="",0,SUMIF(INDIRECT("'"&amp;AN7&amp;"'"&amp;"!E:E"),$AE$5,INDIRECT("'"&amp;AN7&amp;"'"&amp;"!F:F")))</f>
        <v>37.549999999999997</v>
      </c>
      <c r="AF7" s="1802"/>
      <c r="AG7" s="147">
        <f t="shared" ref="AG7:AG13" si="7">IF(AF7="",0,AE7-AF7)</f>
        <v>0</v>
      </c>
      <c r="AH7" s="83"/>
      <c r="AI7" s="85">
        <v>365</v>
      </c>
      <c r="AJ7" s="86"/>
      <c r="AK7" s="87">
        <v>1.4999999999999999E-2</v>
      </c>
      <c r="AL7" s="88">
        <v>1.5E-3</v>
      </c>
      <c r="AM7" s="89">
        <v>0.01</v>
      </c>
      <c r="AN7" s="2303" t="s">
        <v>3416</v>
      </c>
      <c r="AO7" s="55">
        <f t="shared" ref="AO7:AO13" ca="1" si="8">SUMIF(INDIRECT("'"&amp;AN7&amp;"'"&amp;"!A:A"),"总价",INDIRECT("'"&amp;AN7&amp;"'"&amp;"!B:B"))</f>
        <v>0</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c r="A8" s="2300" t="str">
        <f>'数据-汇总表'!C21</f>
        <v>1拖2商业</v>
      </c>
      <c r="B8" s="2301" t="str">
        <f t="shared" si="1"/>
        <v>经营性</v>
      </c>
      <c r="C8" s="2302" t="s">
        <v>1377</v>
      </c>
      <c r="D8" s="1051">
        <f>SUMIF(项目基本情况!D$12:I$12,C8,项目基本情况!D$14:I$14)</f>
        <v>40</v>
      </c>
      <c r="E8" s="1048">
        <f>IF(B8="","",SUMIF(项目基本情况!D$12:I$12,C8,项目基本情况!D$13:I$13))</f>
        <v>57085</v>
      </c>
      <c r="F8" s="72">
        <f>SUMIF(项目基本情况!D$12:I$12,C8,项目基本情况!D$15:I$15)</f>
        <v>37.65</v>
      </c>
      <c r="G8" s="73">
        <f t="shared" si="2"/>
        <v>0.98199999999999998</v>
      </c>
      <c r="H8" s="802">
        <v>5.5E-2</v>
      </c>
      <c r="I8" s="802">
        <v>0.06</v>
      </c>
      <c r="J8" s="74">
        <v>8.5000000000000006E-2</v>
      </c>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v>2</v>
      </c>
      <c r="V8" s="806">
        <v>0.03</v>
      </c>
      <c r="W8" s="806">
        <v>0.1</v>
      </c>
      <c r="X8" s="1261"/>
      <c r="Y8" s="807">
        <f>Y6</f>
        <v>1</v>
      </c>
      <c r="Z8" s="81"/>
      <c r="AA8" s="74"/>
      <c r="AB8" s="74"/>
      <c r="AC8" s="1261"/>
      <c r="AD8" s="82"/>
      <c r="AE8" s="1262">
        <f t="shared" ca="1" si="6"/>
        <v>37.549999999999997</v>
      </c>
      <c r="AF8" s="1802"/>
      <c r="AG8" s="147">
        <f t="shared" si="7"/>
        <v>0</v>
      </c>
      <c r="AH8" s="808"/>
      <c r="AI8" s="85">
        <v>365</v>
      </c>
      <c r="AJ8" s="86"/>
      <c r="AK8" s="87">
        <v>1.4999999999999999E-2</v>
      </c>
      <c r="AL8" s="88">
        <v>1.5E-3</v>
      </c>
      <c r="AM8" s="89">
        <v>0.01</v>
      </c>
      <c r="AN8" s="2303" t="s">
        <v>3423</v>
      </c>
      <c r="AO8" s="55">
        <f t="shared" ca="1" si="8"/>
        <v>0</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2012</v>
      </c>
      <c r="B14" s="2301" t="s">
        <v>2013</v>
      </c>
      <c r="C14" s="2306" t="s">
        <v>2012</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3"/>
      <c r="V14" s="1256"/>
      <c r="W14" s="1256"/>
      <c r="X14" s="1257"/>
      <c r="Y14" s="1258"/>
      <c r="Z14" s="1259"/>
      <c r="AA14" s="1260"/>
      <c r="AB14" s="1260"/>
      <c r="AC14" s="1261"/>
      <c r="AD14" s="1257"/>
      <c r="AE14" s="1262"/>
      <c r="AF14" s="55"/>
      <c r="AG14" s="147"/>
      <c r="AH14" s="1262"/>
      <c r="AI14" s="1813"/>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2014</v>
      </c>
      <c r="B15" s="2301" t="s">
        <v>2013</v>
      </c>
      <c r="C15" s="2306" t="s">
        <v>2015</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3"/>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2016</v>
      </c>
      <c r="B16" s="97"/>
      <c r="C16" s="1005"/>
      <c r="D16" s="2308"/>
      <c r="E16" s="97"/>
      <c r="F16" s="97"/>
      <c r="G16" s="98">
        <f>ROUND(SUMPRODUCT(G6:G13,K6:K13)/SUMPRODUCT((G6:G13&gt;0)*(K6:K13)),3)</f>
        <v>0.99299999999999999</v>
      </c>
      <c r="H16" s="99">
        <f>ROUND(SUMPRODUCT(H6:H13,K6:K13)/SUMPRODUCT((H6:H13&gt;0)*(K6:K13)),3)</f>
        <v>0.04</v>
      </c>
      <c r="I16" s="100"/>
      <c r="J16" s="100"/>
      <c r="K16" s="101">
        <f>SUM(K6:K15)</f>
        <v>49782.53</v>
      </c>
      <c r="L16" s="102">
        <f>ROUND(M16*10000/SUM(K6:K14),0)</f>
        <v>2500</v>
      </c>
      <c r="M16" s="102">
        <f>SUM(M6:M14)</f>
        <v>12446</v>
      </c>
      <c r="N16" s="103">
        <f>ROUND(SUMPRODUCT(M6:M14,N6:N14)/M16,3)</f>
        <v>0.95</v>
      </c>
      <c r="O16" s="102">
        <f>SUM(O6:O14)</f>
        <v>11824</v>
      </c>
      <c r="P16" s="102">
        <f>SUM(P6:P14)</f>
        <v>622</v>
      </c>
      <c r="Q16" s="104">
        <f>ROUND(SUMPRODUCT(Q6:Q13,K6:K13)/SUMPRODUCT((Q6:Q13&gt;0)*(K6:K13)),2)</f>
        <v>0.15</v>
      </c>
      <c r="R16" s="1255">
        <f ca="1">SUM(R6:R13)</f>
        <v>28191.57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2017</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0" t="s">
        <v>2018</v>
      </c>
      <c r="B19" s="112">
        <v>0</v>
      </c>
      <c r="C19" s="2271" t="s">
        <v>2019</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1" t="s">
        <v>2020</v>
      </c>
      <c r="B20" s="113">
        <v>2</v>
      </c>
      <c r="C20" s="2271" t="s">
        <v>2021</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2" t="s">
        <v>2022</v>
      </c>
      <c r="B21" s="113">
        <f>B20*N6</f>
        <v>1.9</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1" t="s">
        <v>2023</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2" t="s">
        <v>2024</v>
      </c>
      <c r="B23" s="114">
        <f>B19+B21</f>
        <v>1.9</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2025</v>
      </c>
      <c r="B24" s="115">
        <f>B20-B21</f>
        <v>0.10000000000000009</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2026</v>
      </c>
      <c r="B26" s="2314" t="s">
        <v>2027</v>
      </c>
      <c r="C26" s="2315" t="s">
        <v>2028</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8.8">
      <c r="A27" s="2316" t="s">
        <v>2029</v>
      </c>
      <c r="B27" s="116">
        <v>50</v>
      </c>
      <c r="C27" s="1762" t="s">
        <v>2030</v>
      </c>
      <c r="D27" s="2317"/>
      <c r="E27" s="1426"/>
      <c r="F27" s="1426"/>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8.8">
      <c r="A28" s="2319" t="s">
        <v>2031</v>
      </c>
      <c r="B28" s="119">
        <v>90</v>
      </c>
      <c r="C28" s="2320"/>
      <c r="D28" s="2317"/>
      <c r="E28" s="1426"/>
      <c r="F28" s="1426"/>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9.4" thickBot="1">
      <c r="A29" s="2321" t="s">
        <v>2032</v>
      </c>
      <c r="B29" s="121">
        <f ca="1">成本法!C9+成本法!C10</f>
        <v>249</v>
      </c>
      <c r="C29" s="1762" t="s">
        <v>2033</v>
      </c>
      <c r="D29" s="2317"/>
      <c r="E29" s="1426"/>
      <c r="F29" s="1426"/>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8.8">
      <c r="A30" s="2322" t="s">
        <v>2034</v>
      </c>
      <c r="B30" s="724">
        <v>200</v>
      </c>
      <c r="C30" s="2320"/>
      <c r="D30" s="2317"/>
      <c r="E30" s="1426"/>
      <c r="F30" s="1426"/>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8.8">
      <c r="A31" s="2319" t="s">
        <v>2035</v>
      </c>
      <c r="B31" s="120">
        <f>B30-B32</f>
        <v>200</v>
      </c>
      <c r="C31" s="1762"/>
      <c r="D31" s="2317"/>
      <c r="E31" s="1426"/>
      <c r="F31" s="1426"/>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9.4" thickBot="1">
      <c r="A32" s="2323" t="s">
        <v>2036</v>
      </c>
      <c r="B32" s="725">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4">
      <c r="A33" s="2316" t="s">
        <v>2037</v>
      </c>
      <c r="B33" s="726">
        <v>0.03</v>
      </c>
      <c r="C33" s="1761" t="s">
        <v>2038</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4">
      <c r="A34" s="2319" t="s">
        <v>2039</v>
      </c>
      <c r="B34" s="122">
        <v>0.05</v>
      </c>
      <c r="C34" s="1761" t="s">
        <v>2040</v>
      </c>
      <c r="D34" s="2272" t="s">
        <v>2041</v>
      </c>
      <c r="E34" s="732"/>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4">
      <c r="A35" s="2319" t="s">
        <v>2042</v>
      </c>
      <c r="B35" s="119">
        <v>200</v>
      </c>
      <c r="C35" s="1761" t="s">
        <v>2043</v>
      </c>
      <c r="D35" s="2317"/>
      <c r="E35" s="1426"/>
      <c r="F35" s="1426"/>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2044</v>
      </c>
      <c r="B36" s="123">
        <v>1.4999999999999999E-2</v>
      </c>
      <c r="C36" s="1761" t="s">
        <v>2045</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2" t="s">
        <v>2046</v>
      </c>
      <c r="B37" s="124">
        <v>0.02</v>
      </c>
      <c r="C37" s="1761" t="s">
        <v>2047</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9" t="s">
        <v>2048</v>
      </c>
      <c r="B38" s="122">
        <v>0.02</v>
      </c>
      <c r="C38" s="1761" t="s">
        <v>2047</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3" t="s">
        <v>2049</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2050</v>
      </c>
      <c r="B40" s="1300">
        <f ca="1">存贷款利率!G1</f>
        <v>4.7500000000000001E-2</v>
      </c>
      <c r="C40" s="1761" t="s">
        <v>2051</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6" t="s">
        <v>2052</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4" t="s">
        <v>2053</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4" t="s">
        <v>2054</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6" t="s">
        <v>2055</v>
      </c>
      <c r="B44" s="128">
        <v>7.0000000000000007E-2</v>
      </c>
      <c r="C44" s="1761" t="s">
        <v>2056</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6" t="s">
        <v>2057</v>
      </c>
      <c r="B45" s="126">
        <v>0.03</v>
      </c>
      <c r="C45" s="1762" t="s">
        <v>2058</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6" t="s">
        <v>2059</v>
      </c>
      <c r="B46" s="126">
        <v>0.02</v>
      </c>
      <c r="C46" s="1762" t="s">
        <v>2060</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2061</v>
      </c>
      <c r="B47" s="129">
        <v>0</v>
      </c>
      <c r="C47" s="1762" t="s">
        <v>2062</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8" t="s">
        <v>2063</v>
      </c>
      <c r="B48" s="130">
        <v>0.03</v>
      </c>
      <c r="C48" s="1769" t="s">
        <v>2064</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2065</v>
      </c>
      <c r="B49" s="126">
        <v>5.0000000000000001E-4</v>
      </c>
      <c r="C49" s="1769" t="s">
        <v>2066</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9" t="s">
        <v>2067</v>
      </c>
      <c r="B50" s="131">
        <v>1.2E-2</v>
      </c>
      <c r="C50" s="1426"/>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2068</v>
      </c>
      <c r="B51" s="132">
        <v>0.12</v>
      </c>
      <c r="C51" s="1426"/>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9" t="s">
        <v>2069</v>
      </c>
      <c r="B52" s="133">
        <f>SUMIF(A54:A63,B53,B54:B63)</f>
        <v>6</v>
      </c>
      <c r="C52" s="1426"/>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9" t="s">
        <v>2070</v>
      </c>
      <c r="B53" s="2330" t="s">
        <v>442</v>
      </c>
      <c r="C53" s="1426" t="s">
        <v>2071</v>
      </c>
      <c r="D53" s="2331" t="s">
        <v>2072</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2" t="s">
        <v>2073</v>
      </c>
      <c r="B54" s="84">
        <v>16.5</v>
      </c>
      <c r="C54" s="1426">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2" t="s">
        <v>2074</v>
      </c>
      <c r="B55" s="84">
        <v>9.5</v>
      </c>
      <c r="C55" s="1426">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2" t="s">
        <v>2075</v>
      </c>
      <c r="B56" s="84">
        <v>6</v>
      </c>
      <c r="C56" s="1426">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2" t="s">
        <v>2076</v>
      </c>
      <c r="B57" s="84">
        <v>3.6</v>
      </c>
      <c r="C57" s="1426">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2" t="s">
        <v>2077</v>
      </c>
      <c r="B58" s="84">
        <v>2.1</v>
      </c>
      <c r="C58" s="1426">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2" t="s">
        <v>2078</v>
      </c>
      <c r="B59" s="84"/>
      <c r="C59" s="1426">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2" t="s">
        <v>2079</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2" t="s">
        <v>2080</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2" t="s">
        <v>2081</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2082</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61" t="s">
        <v>2083</v>
      </c>
      <c r="B1" s="3062"/>
      <c r="C1" s="3062"/>
      <c r="D1" s="3062"/>
      <c r="E1" s="3062"/>
      <c r="F1" s="3062"/>
      <c r="G1" s="306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2084</v>
      </c>
      <c r="D2" s="2360"/>
      <c r="E2" s="2361"/>
      <c r="F2" s="2280"/>
      <c r="G2" s="2359" t="s">
        <v>2085</v>
      </c>
      <c r="H2" s="2362"/>
      <c r="I2" s="2362"/>
      <c r="J2" s="2362"/>
      <c r="K2" s="2362"/>
      <c r="L2" s="2362"/>
      <c r="M2" s="2362"/>
      <c r="N2" s="2362"/>
      <c r="O2" s="2362"/>
      <c r="P2" s="2362"/>
      <c r="Q2" s="2362"/>
      <c r="R2" s="2362"/>
    </row>
    <row r="3" spans="1:29" ht="57.6">
      <c r="A3" s="415" t="s">
        <v>2086</v>
      </c>
      <c r="B3" s="1268" t="s">
        <v>2087</v>
      </c>
      <c r="C3" s="2364" t="s">
        <v>2088</v>
      </c>
      <c r="D3" s="2365"/>
      <c r="E3" s="431" t="s">
        <v>2086</v>
      </c>
      <c r="F3" s="2366" t="s">
        <v>2089</v>
      </c>
      <c r="G3" s="2367" t="s">
        <v>2090</v>
      </c>
      <c r="H3" s="2362"/>
      <c r="I3" s="2362"/>
      <c r="J3" s="2362"/>
      <c r="K3" s="2362"/>
      <c r="L3" s="2362"/>
      <c r="M3" s="2362"/>
      <c r="N3" s="2362"/>
      <c r="O3" s="2362"/>
      <c r="P3" s="2362"/>
      <c r="Q3" s="2362"/>
      <c r="R3" s="2362"/>
    </row>
    <row r="4" spans="1:29" ht="43.2">
      <c r="A4" s="431"/>
      <c r="B4" s="1793" t="s">
        <v>2091</v>
      </c>
      <c r="C4" s="2368" t="s">
        <v>2092</v>
      </c>
      <c r="D4" s="2365"/>
      <c r="E4" s="2369"/>
      <c r="F4" s="42" t="s">
        <v>2093</v>
      </c>
      <c r="G4" s="2370" t="s">
        <v>2094</v>
      </c>
      <c r="H4" s="2362"/>
      <c r="I4" s="2362"/>
      <c r="J4" s="2362"/>
      <c r="K4" s="2362"/>
      <c r="L4" s="2362"/>
      <c r="M4" s="2362"/>
      <c r="N4" s="2362"/>
      <c r="O4" s="2362"/>
      <c r="P4" s="2362"/>
      <c r="Q4" s="2362"/>
      <c r="R4" s="2362"/>
    </row>
    <row r="5" spans="1:29" ht="43.2">
      <c r="A5" s="431"/>
      <c r="B5" s="1793" t="s">
        <v>2095</v>
      </c>
      <c r="C5" s="2368" t="s">
        <v>2096</v>
      </c>
      <c r="D5" s="2365"/>
      <c r="E5" s="2369"/>
      <c r="F5" s="1793" t="s">
        <v>2097</v>
      </c>
      <c r="G5" s="2370" t="s">
        <v>2098</v>
      </c>
      <c r="H5" s="2362"/>
      <c r="I5" s="2362"/>
      <c r="J5" s="2362"/>
      <c r="K5" s="2362"/>
      <c r="L5" s="2362"/>
      <c r="M5" s="2362"/>
      <c r="N5" s="2362"/>
      <c r="O5" s="2362"/>
      <c r="P5" s="2362"/>
      <c r="Q5" s="2362"/>
      <c r="R5" s="2362"/>
    </row>
    <row r="6" spans="1:29" ht="57.6">
      <c r="A6" s="431"/>
      <c r="B6" s="1793" t="s">
        <v>2099</v>
      </c>
      <c r="C6" s="2370" t="s">
        <v>2094</v>
      </c>
      <c r="D6" s="2365"/>
      <c r="E6" s="2369"/>
      <c r="F6" s="1793" t="s">
        <v>2100</v>
      </c>
      <c r="G6" s="2370" t="s">
        <v>2101</v>
      </c>
      <c r="H6" s="2362"/>
      <c r="I6" s="2362"/>
      <c r="J6" s="2362"/>
      <c r="K6" s="2362"/>
      <c r="L6" s="2362"/>
      <c r="M6" s="2362"/>
      <c r="N6" s="2362"/>
      <c r="O6" s="2362"/>
      <c r="P6" s="2362"/>
      <c r="Q6" s="2362"/>
      <c r="R6" s="2362"/>
    </row>
    <row r="7" spans="1:29" ht="43.8" thickBot="1">
      <c r="A7" s="431"/>
      <c r="B7" s="1793" t="s">
        <v>2097</v>
      </c>
      <c r="C7" s="2370" t="s">
        <v>2098</v>
      </c>
      <c r="D7" s="2371"/>
      <c r="E7" s="2372"/>
      <c r="F7" s="2373" t="s">
        <v>2102</v>
      </c>
      <c r="G7" s="2374" t="s">
        <v>2103</v>
      </c>
      <c r="H7" s="2362"/>
      <c r="I7" s="2362"/>
      <c r="J7" s="2362"/>
      <c r="K7" s="2362"/>
      <c r="L7" s="2362"/>
      <c r="M7" s="2362"/>
      <c r="N7" s="2362"/>
      <c r="O7" s="2362"/>
      <c r="P7" s="2362"/>
      <c r="Q7" s="2362"/>
      <c r="R7" s="2362"/>
    </row>
    <row r="8" spans="1:29" ht="28.8">
      <c r="A8" s="431"/>
      <c r="B8" s="1793" t="s">
        <v>2100</v>
      </c>
      <c r="C8" s="2370" t="s">
        <v>2101</v>
      </c>
      <c r="D8" s="2371"/>
      <c r="E8" s="2371"/>
      <c r="F8" s="1133"/>
      <c r="G8" s="1133"/>
      <c r="H8" s="2362"/>
      <c r="I8" s="2362"/>
      <c r="J8" s="2362"/>
      <c r="K8" s="2362"/>
      <c r="L8" s="2362"/>
      <c r="M8" s="2362"/>
      <c r="N8" s="2362"/>
      <c r="O8" s="2362"/>
      <c r="P8" s="2362"/>
      <c r="Q8" s="2362"/>
      <c r="R8" s="2362"/>
    </row>
    <row r="9" spans="1:29" ht="43.2">
      <c r="A9" s="431"/>
      <c r="B9" s="1793" t="s">
        <v>2104</v>
      </c>
      <c r="C9" s="2368" t="s">
        <v>2105</v>
      </c>
      <c r="D9" s="2365"/>
      <c r="E9" s="2371"/>
      <c r="F9" s="1133"/>
      <c r="G9" s="1133"/>
      <c r="H9" s="2362"/>
      <c r="I9" s="2362"/>
      <c r="J9" s="2362"/>
      <c r="K9" s="2362"/>
      <c r="L9" s="2362"/>
      <c r="M9" s="2362"/>
      <c r="N9" s="2362"/>
      <c r="O9" s="2362"/>
      <c r="P9" s="2362"/>
      <c r="Q9" s="2362"/>
      <c r="R9" s="2362"/>
    </row>
    <row r="10" spans="1:29" s="117" customFormat="1" ht="15" thickBot="1">
      <c r="A10" s="2375"/>
      <c r="B10" s="2376" t="s">
        <v>2106</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2107</v>
      </c>
      <c r="B13" s="2382"/>
      <c r="C13" s="2382"/>
      <c r="D13" s="2389"/>
      <c r="E13" s="2382"/>
      <c r="F13" s="2382"/>
      <c r="G13" s="2382"/>
    </row>
    <row r="14" spans="1:29" ht="15" thickBot="1">
      <c r="A14" s="2393"/>
      <c r="B14" s="2394"/>
      <c r="C14" s="2395" t="s">
        <v>2108</v>
      </c>
      <c r="D14" s="2365"/>
      <c r="E14" s="2396"/>
      <c r="F14" s="2396"/>
      <c r="G14" s="2359" t="s">
        <v>2109</v>
      </c>
    </row>
    <row r="15" spans="1:29" ht="55.2">
      <c r="A15" s="68" t="s">
        <v>2110</v>
      </c>
      <c r="B15" s="1267" t="s">
        <v>2087</v>
      </c>
      <c r="C15" s="2397" t="str">
        <f>C3</f>
        <v>估价对象周边居住用地比例、居住小区规模和社区发展完善程度，综合评价居住社区成熟度一般</v>
      </c>
      <c r="D15" s="2365"/>
      <c r="E15" s="2398" t="s">
        <v>2111</v>
      </c>
      <c r="F15" s="1267" t="s">
        <v>2112</v>
      </c>
      <c r="G15" s="135" t="str">
        <f>G3</f>
        <v>估价对象位于XX开发区，园区建设成熟度XX，产业集聚程度XX</v>
      </c>
    </row>
    <row r="16" spans="1:29" ht="41.4">
      <c r="A16" s="645"/>
      <c r="B16" s="2399" t="s">
        <v>2091</v>
      </c>
      <c r="C16" s="2400" t="str">
        <f>C4</f>
        <v>估价对象位于XX商圈，周边商业氛围成熟，人流量大，商业繁华度好</v>
      </c>
      <c r="D16" s="2365"/>
      <c r="E16" s="2401"/>
      <c r="F16" s="2402" t="s">
        <v>2093</v>
      </c>
      <c r="G16" s="136" t="str">
        <f>G4</f>
        <v>估价对象周边道路状况、公共交通通达情况、停车便捷程度，综合评价交通便捷度较好</v>
      </c>
    </row>
    <row r="17" spans="1:18" ht="41.4">
      <c r="A17" s="645"/>
      <c r="B17" s="2399" t="s">
        <v>2095</v>
      </c>
      <c r="C17" s="2400" t="str">
        <f>C5</f>
        <v>估价对象位于XX商圈，周边办公楼项目较多，入驻率高，办公集聚程度较好</v>
      </c>
      <c r="D17" s="2371"/>
      <c r="E17" s="2401"/>
      <c r="F17" s="2402" t="s">
        <v>2113</v>
      </c>
      <c r="G17" s="1567"/>
    </row>
    <row r="18" spans="1:18" ht="55.2">
      <c r="A18" s="645"/>
      <c r="B18" s="2402" t="s">
        <v>2099</v>
      </c>
      <c r="C18" s="136" t="str">
        <f>C6</f>
        <v>估价对象周边道路状况、公共交通通达情况、停车便捷程度，综合评价交通便捷度较好</v>
      </c>
      <c r="D18" s="2371"/>
      <c r="E18" s="2401"/>
      <c r="F18" s="2402" t="s">
        <v>2102</v>
      </c>
      <c r="G18" s="136" t="str">
        <f>G7</f>
        <v>该园区内是否有污染型企业，绿化情况，卫生条件，整体环境状况判断</v>
      </c>
    </row>
    <row r="19" spans="1:18" ht="27.6">
      <c r="A19" s="645"/>
      <c r="B19" s="2402" t="s">
        <v>2114</v>
      </c>
      <c r="C19" s="1567"/>
      <c r="D19" s="2365"/>
      <c r="E19" s="2401"/>
      <c r="F19" s="1793" t="s">
        <v>2097</v>
      </c>
      <c r="G19" s="136" t="str">
        <f>G5</f>
        <v>估价对象所在区域公共配套设施齐备情况</v>
      </c>
    </row>
    <row r="20" spans="1:18" ht="41.4">
      <c r="A20" s="645"/>
      <c r="B20" s="2402" t="s">
        <v>2115</v>
      </c>
      <c r="C20" s="2400" t="str">
        <f>C9</f>
        <v>区域自然环境：；人文环境；综合评价环境状况一般</v>
      </c>
      <c r="D20" s="2371"/>
      <c r="E20" s="2401"/>
      <c r="F20" s="1793" t="s">
        <v>2116</v>
      </c>
      <c r="G20" s="136" t="str">
        <f>G6</f>
        <v>估价对象所在区域基础设施水平</v>
      </c>
    </row>
    <row r="21" spans="1:18" ht="27.6">
      <c r="A21" s="645"/>
      <c r="B21" s="1793" t="s">
        <v>2097</v>
      </c>
      <c r="C21" s="136" t="str">
        <f>C7</f>
        <v>估价对象所在区域公共配套设施齐备情况</v>
      </c>
      <c r="D21" s="2365"/>
      <c r="E21" s="2401"/>
      <c r="F21" s="2402" t="s">
        <v>2117</v>
      </c>
      <c r="G21" s="2403"/>
    </row>
    <row r="22" spans="1:18" ht="13.5" customHeight="1">
      <c r="A22" s="645"/>
      <c r="B22" s="1793" t="s">
        <v>2100</v>
      </c>
      <c r="C22" s="136" t="str">
        <f>C8</f>
        <v>估价对象所在区域基础设施水平</v>
      </c>
      <c r="D22" s="2365"/>
      <c r="E22" s="2401"/>
      <c r="F22" s="2402" t="s">
        <v>2106</v>
      </c>
      <c r="G22" s="1567"/>
    </row>
    <row r="23" spans="1:18" s="2362" customFormat="1" ht="15" thickBot="1">
      <c r="A23" s="645"/>
      <c r="B23" s="2402" t="s">
        <v>2117</v>
      </c>
      <c r="C23" s="2403"/>
      <c r="D23" s="2390"/>
      <c r="E23" s="2404"/>
      <c r="F23" s="2405" t="s">
        <v>2118</v>
      </c>
      <c r="G23" s="2406"/>
      <c r="H23" s="2390"/>
      <c r="I23" s="2391"/>
      <c r="J23" s="2390"/>
      <c r="K23" s="2390"/>
      <c r="L23" s="2391"/>
      <c r="M23" s="2390"/>
      <c r="N23" s="2390"/>
      <c r="O23" s="2391"/>
      <c r="P23" s="2390"/>
      <c r="Q23" s="2390"/>
      <c r="R23" s="2392"/>
    </row>
    <row r="24" spans="1:18" s="2362" customFormat="1" ht="15" thickBot="1">
      <c r="A24" s="2407"/>
      <c r="B24" s="2405" t="s">
        <v>2119</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7" sqref="H17"/>
    </sheetView>
  </sheetViews>
  <sheetFormatPr defaultColWidth="9" defaultRowHeight="14.4"/>
  <cols>
    <col min="1" max="1" width="23.33203125" style="1736" customWidth="1"/>
    <col min="2" max="9" width="15.77734375" style="1736" customWidth="1"/>
    <col min="10" max="16384" width="9" style="1736"/>
  </cols>
  <sheetData>
    <row r="1" spans="1:10" ht="16.2">
      <c r="A1" s="1741" t="s">
        <v>1365</v>
      </c>
      <c r="B1" s="1741">
        <f>SUM(B14:B23)</f>
        <v>49782.53</v>
      </c>
      <c r="C1" s="1740"/>
      <c r="D1" s="1740"/>
      <c r="E1" s="1740"/>
      <c r="F1" s="1740"/>
      <c r="G1" s="1738"/>
    </row>
    <row r="2" spans="1:10" ht="16.2">
      <c r="A2" s="1741" t="s">
        <v>1353</v>
      </c>
      <c r="B2" s="1741">
        <f>SUM(C14:C23)</f>
        <v>28191.57</v>
      </c>
      <c r="C2" s="1740"/>
      <c r="D2" s="1740"/>
      <c r="E2" s="1740"/>
      <c r="F2" s="1740"/>
      <c r="G2" s="1738"/>
    </row>
    <row r="3" spans="1:10" ht="15.6">
      <c r="A3" s="1741" t="s">
        <v>1362</v>
      </c>
      <c r="B3" s="1742">
        <f>项目基本情况!D3</f>
        <v>43342</v>
      </c>
      <c r="C3" s="1740"/>
      <c r="D3" s="1740"/>
      <c r="E3" s="1740"/>
      <c r="F3" s="1740"/>
      <c r="G3" s="1738"/>
    </row>
    <row r="4" spans="1:10" ht="31.2">
      <c r="A4" s="1741" t="s">
        <v>1361</v>
      </c>
      <c r="B4" s="1741" t="s">
        <v>1360</v>
      </c>
      <c r="C4" s="1741" t="s">
        <v>1359</v>
      </c>
      <c r="D4" s="1741" t="s">
        <v>1358</v>
      </c>
      <c r="E4" s="1740"/>
      <c r="F4" s="1738"/>
      <c r="G4" s="1738"/>
    </row>
    <row r="5" spans="1:10" ht="15.6">
      <c r="A5" s="1741" t="s">
        <v>1357</v>
      </c>
      <c r="B5" s="1741">
        <f ca="1">SUM(D14:D23)</f>
        <v>35435</v>
      </c>
      <c r="C5" s="1741">
        <f ca="1">ROUND(B5*10000/$B$1,0)</f>
        <v>7118</v>
      </c>
      <c r="D5" s="1741">
        <f ca="1">ROUND(B5*10000/$B$2,0)</f>
        <v>12569</v>
      </c>
      <c r="E5" s="1740"/>
      <c r="F5" s="1738"/>
      <c r="G5" s="1738"/>
    </row>
    <row r="6" spans="1:10" ht="15.6">
      <c r="A6" s="1741" t="s">
        <v>1356</v>
      </c>
      <c r="B6" s="1741">
        <f ca="1">SUM(G14:G23)</f>
        <v>35435</v>
      </c>
      <c r="C6" s="1741">
        <f ca="1">ROUND(B6*10000/$B$1,0)</f>
        <v>7118</v>
      </c>
      <c r="D6" s="1741">
        <f ca="1">ROUND(B6*10000/$B$2,0)</f>
        <v>12569</v>
      </c>
      <c r="E6" s="1740"/>
      <c r="F6" s="1738"/>
      <c r="G6" s="1738"/>
    </row>
    <row r="7" spans="1:10" ht="15.6">
      <c r="A7" s="1741" t="s">
        <v>1364</v>
      </c>
      <c r="B7" s="1741">
        <f>SUM(H14:H23)</f>
        <v>0</v>
      </c>
      <c r="C7" s="1741">
        <f>ROUND(B7*10000/$B$1,0)</f>
        <v>0</v>
      </c>
      <c r="D7" s="1741">
        <f>ROUND(B7*10000/$B$2,0)</f>
        <v>0</v>
      </c>
      <c r="E7" s="1740"/>
      <c r="F7" s="1738"/>
      <c r="G7" s="1738"/>
    </row>
    <row r="8" spans="1:10" ht="15.6">
      <c r="A8" s="1741" t="s">
        <v>1285</v>
      </c>
      <c r="B8" s="1741">
        <f>SUM(I14:I23)</f>
        <v>0</v>
      </c>
      <c r="C8" s="1741">
        <f>ROUND(B8*10000/$B$1,0)</f>
        <v>0</v>
      </c>
      <c r="D8" s="1741">
        <f>ROUND(B8*10000/$B$2,0)</f>
        <v>0</v>
      </c>
      <c r="E8" s="1740"/>
      <c r="F8" s="1738"/>
      <c r="G8" s="1738"/>
    </row>
    <row r="9" spans="1:10" ht="15.6">
      <c r="A9" s="1741" t="s">
        <v>1355</v>
      </c>
      <c r="B9" s="1743"/>
      <c r="C9" s="1740"/>
      <c r="D9" s="1740"/>
      <c r="E9" s="1740"/>
      <c r="F9" s="1738"/>
      <c r="G9" s="1738"/>
    </row>
    <row r="10" spans="1:10" ht="15.6">
      <c r="A10" s="1741" t="s">
        <v>1354</v>
      </c>
      <c r="B10" s="1743"/>
      <c r="C10" s="1740"/>
      <c r="D10" s="1740"/>
      <c r="E10" s="1740"/>
      <c r="F10" s="1738"/>
      <c r="G10" s="1738"/>
    </row>
    <row r="11" spans="1:10" ht="15.6">
      <c r="A11" s="1741" t="s">
        <v>1370</v>
      </c>
      <c r="B11" s="1743"/>
      <c r="C11" s="1740"/>
      <c r="D11" s="1740"/>
      <c r="E11" s="1740"/>
      <c r="F11" s="1738"/>
      <c r="G11" s="1738"/>
    </row>
    <row r="12" spans="1:10" ht="15.6">
      <c r="A12" s="1740"/>
      <c r="B12" s="1740"/>
      <c r="C12" s="1740"/>
      <c r="D12" s="1740"/>
      <c r="E12" s="1740"/>
      <c r="F12" s="1738"/>
      <c r="G12" s="1738"/>
    </row>
    <row r="13" spans="1:10" ht="31.8">
      <c r="A13" s="1746" t="s">
        <v>1369</v>
      </c>
      <c r="B13" s="1739" t="s">
        <v>1366</v>
      </c>
      <c r="C13" s="1739" t="s">
        <v>1368</v>
      </c>
      <c r="D13" s="1739" t="s">
        <v>1367</v>
      </c>
      <c r="E13" s="1741" t="s">
        <v>1359</v>
      </c>
      <c r="F13" s="1741" t="s">
        <v>1358</v>
      </c>
      <c r="G13" s="1739" t="s">
        <v>1352</v>
      </c>
      <c r="H13" s="1739" t="s">
        <v>1363</v>
      </c>
      <c r="I13" s="1739" t="s">
        <v>1351</v>
      </c>
      <c r="J13" s="1738"/>
    </row>
    <row r="14" spans="1:10" ht="15.6">
      <c r="A14" s="1737" t="s">
        <v>1350</v>
      </c>
      <c r="B14" s="1739">
        <f>结果表!B118</f>
        <v>49782.53</v>
      </c>
      <c r="C14" s="1739">
        <f>结果表!C118</f>
        <v>28191.57</v>
      </c>
      <c r="D14" s="1739">
        <f ca="1">结果表!H118</f>
        <v>35435</v>
      </c>
      <c r="E14" s="1739">
        <f ca="1">ROUND(D14*10000/B14,0)</f>
        <v>7118</v>
      </c>
      <c r="F14" s="1739">
        <f ca="1">ROUND(D14*10000/C14,0)</f>
        <v>12569</v>
      </c>
      <c r="G14" s="1739">
        <f ca="1">结果表!D122</f>
        <v>35435</v>
      </c>
      <c r="H14" s="1739" t="str">
        <f>结果表!D124</f>
        <v>——</v>
      </c>
      <c r="I14" s="1739" t="str">
        <f>结果表!D126</f>
        <v>——</v>
      </c>
      <c r="J14" s="1738"/>
    </row>
    <row r="15" spans="1:10" ht="15.6">
      <c r="A15" s="1737" t="s">
        <v>1349</v>
      </c>
      <c r="B15" s="1744"/>
      <c r="C15" s="1744"/>
      <c r="D15" s="1744"/>
      <c r="E15" s="1739" t="e">
        <f t="shared" ref="E15:E23" si="0">ROUND(D15*10000/B15,0)</f>
        <v>#DIV/0!</v>
      </c>
      <c r="F15" s="1739" t="e">
        <f t="shared" ref="F15:F23" si="1">ROUND(D15*10000/C15,0)</f>
        <v>#DIV/0!</v>
      </c>
      <c r="G15" s="1745"/>
      <c r="H15" s="1745"/>
      <c r="I15" s="1744"/>
      <c r="J15" s="1738"/>
    </row>
    <row r="16" spans="1:10" ht="15.6">
      <c r="A16" s="1737" t="s">
        <v>1348</v>
      </c>
      <c r="B16" s="1744"/>
      <c r="C16" s="1744"/>
      <c r="D16" s="1744"/>
      <c r="E16" s="1739" t="e">
        <f t="shared" si="0"/>
        <v>#DIV/0!</v>
      </c>
      <c r="F16" s="1739" t="e">
        <f t="shared" si="1"/>
        <v>#DIV/0!</v>
      </c>
      <c r="G16" s="1745"/>
      <c r="H16" s="1745"/>
      <c r="I16" s="1744"/>
    </row>
    <row r="17" spans="1:9" ht="15.6">
      <c r="A17" s="1737" t="s">
        <v>1347</v>
      </c>
      <c r="B17" s="1744"/>
      <c r="C17" s="1744"/>
      <c r="D17" s="1744"/>
      <c r="E17" s="1739" t="e">
        <f t="shared" si="0"/>
        <v>#DIV/0!</v>
      </c>
      <c r="F17" s="1739" t="e">
        <f t="shared" si="1"/>
        <v>#DIV/0!</v>
      </c>
      <c r="G17" s="1745"/>
      <c r="H17" s="1745"/>
      <c r="I17" s="1744"/>
    </row>
    <row r="18" spans="1:9" ht="15.6">
      <c r="A18" s="1737" t="s">
        <v>1346</v>
      </c>
      <c r="B18" s="1744"/>
      <c r="C18" s="1744"/>
      <c r="D18" s="1744"/>
      <c r="E18" s="1739" t="e">
        <f t="shared" si="0"/>
        <v>#DIV/0!</v>
      </c>
      <c r="F18" s="1739" t="e">
        <f t="shared" si="1"/>
        <v>#DIV/0!</v>
      </c>
      <c r="G18" s="1744"/>
      <c r="H18" s="1744"/>
      <c r="I18" s="1744"/>
    </row>
    <row r="19" spans="1:9" ht="15.6">
      <c r="A19" s="1737" t="s">
        <v>1345</v>
      </c>
      <c r="B19" s="1744"/>
      <c r="C19" s="1744"/>
      <c r="D19" s="1744"/>
      <c r="E19" s="1739" t="e">
        <f t="shared" si="0"/>
        <v>#DIV/0!</v>
      </c>
      <c r="F19" s="1739" t="e">
        <f t="shared" si="1"/>
        <v>#DIV/0!</v>
      </c>
      <c r="G19" s="1744"/>
      <c r="H19" s="1744"/>
      <c r="I19" s="1744"/>
    </row>
    <row r="20" spans="1:9" ht="15.6">
      <c r="A20" s="1737" t="s">
        <v>1344</v>
      </c>
      <c r="B20" s="1744"/>
      <c r="C20" s="1744"/>
      <c r="D20" s="1744"/>
      <c r="E20" s="1739" t="e">
        <f t="shared" si="0"/>
        <v>#DIV/0!</v>
      </c>
      <c r="F20" s="1739" t="e">
        <f t="shared" si="1"/>
        <v>#DIV/0!</v>
      </c>
      <c r="G20" s="1744"/>
      <c r="H20" s="1744"/>
      <c r="I20" s="1744"/>
    </row>
    <row r="21" spans="1:9" ht="15.6">
      <c r="A21" s="1737" t="s">
        <v>1343</v>
      </c>
      <c r="B21" s="1744"/>
      <c r="C21" s="1744"/>
      <c r="D21" s="1744"/>
      <c r="E21" s="1739" t="e">
        <f t="shared" si="0"/>
        <v>#DIV/0!</v>
      </c>
      <c r="F21" s="1739" t="e">
        <f t="shared" si="1"/>
        <v>#DIV/0!</v>
      </c>
      <c r="G21" s="1744"/>
      <c r="H21" s="1744"/>
      <c r="I21" s="1744"/>
    </row>
    <row r="22" spans="1:9" ht="15.6">
      <c r="A22" s="1737" t="s">
        <v>1342</v>
      </c>
      <c r="B22" s="1744"/>
      <c r="C22" s="1744"/>
      <c r="D22" s="1744"/>
      <c r="E22" s="1739" t="e">
        <f t="shared" si="0"/>
        <v>#DIV/0!</v>
      </c>
      <c r="F22" s="1739" t="e">
        <f t="shared" si="1"/>
        <v>#DIV/0!</v>
      </c>
      <c r="G22" s="1744"/>
      <c r="H22" s="1744"/>
      <c r="I22" s="1744"/>
    </row>
    <row r="23" spans="1:9" ht="15.6">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I118" sqref="B118:I118"/>
    </sheetView>
  </sheetViews>
  <sheetFormatPr defaultColWidth="12.6640625" defaultRowHeight="21.75" customHeight="1"/>
  <cols>
    <col min="1" max="2" width="12.6640625" style="2419"/>
    <col min="3" max="4" width="12.6640625" style="2419" customWidth="1"/>
    <col min="5" max="9" width="12.6640625" style="2419"/>
    <col min="10" max="11" width="12.6640625" style="795" customWidth="1"/>
    <col min="12" max="12" width="12.6640625" style="795"/>
    <col min="13" max="13" width="14.109375" style="795" bestFit="1" customWidth="1"/>
    <col min="14" max="26" width="12.6640625" style="795"/>
    <col min="27" max="35" width="12.6640625" style="2418"/>
    <col min="36" max="16384" width="12.6640625" style="2419"/>
  </cols>
  <sheetData>
    <row r="1" spans="1:12" ht="21.75" customHeight="1" thickBot="1">
      <c r="A1" s="2220" t="s">
        <v>2120</v>
      </c>
      <c r="B1" s="2413"/>
      <c r="C1" s="2414"/>
      <c r="D1" s="2413"/>
      <c r="E1" s="2413"/>
      <c r="F1" s="2415" t="s">
        <v>2121</v>
      </c>
      <c r="G1" s="2065" t="s">
        <v>2122</v>
      </c>
      <c r="H1" s="2416" t="str">
        <f>IF(G1="现房","——","估价对象范围")</f>
        <v>估价对象范围</v>
      </c>
      <c r="I1" s="2417"/>
    </row>
    <row r="2" spans="1:12" ht="21.75" customHeight="1" thickBot="1">
      <c r="A2" s="3096" t="str">
        <f>项目基本情况!S2</f>
        <v>广西自治区叠彩区站前路以北、春江路以东、漓江以西出让国有建设用地使用权及在建建筑物房地产</v>
      </c>
      <c r="B2" s="3097"/>
      <c r="C2" s="3097"/>
      <c r="D2" s="3097"/>
      <c r="E2" s="3097"/>
      <c r="F2" s="3097"/>
      <c r="G2" s="3097"/>
      <c r="H2" s="3097"/>
      <c r="I2" s="3098"/>
    </row>
    <row r="3" spans="1:12" ht="13.2">
      <c r="A3" s="3100" t="s">
        <v>2123</v>
      </c>
      <c r="B3" s="3101"/>
      <c r="C3" s="3101"/>
      <c r="D3" s="3101"/>
      <c r="E3" s="3101"/>
      <c r="F3" s="3101"/>
      <c r="G3" s="3101"/>
      <c r="H3" s="3101"/>
      <c r="I3" s="3101"/>
    </row>
    <row r="4" spans="1:12" ht="14.4">
      <c r="A4" s="2420" t="s">
        <v>2124</v>
      </c>
      <c r="B4" s="2421" t="s">
        <v>2125</v>
      </c>
      <c r="C4" s="2422" t="s">
        <v>3426</v>
      </c>
      <c r="D4" s="2422" t="s">
        <v>3427</v>
      </c>
      <c r="E4" s="3093" t="s">
        <v>2126</v>
      </c>
      <c r="F4" s="3094"/>
      <c r="G4" s="3094"/>
      <c r="H4" s="3094"/>
      <c r="I4" s="310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076" t="s">
        <v>2127</v>
      </c>
      <c r="B5" s="3014">
        <v>25</v>
      </c>
      <c r="C5" s="3079"/>
      <c r="D5" s="3099"/>
      <c r="E5" s="140" t="s">
        <v>2128</v>
      </c>
      <c r="F5" s="2424"/>
      <c r="G5" s="2424"/>
      <c r="H5" s="2424"/>
      <c r="I5" s="1829"/>
    </row>
    <row r="6" spans="1:12" ht="13.2">
      <c r="A6" s="3076"/>
      <c r="B6" s="3014"/>
      <c r="C6" s="3080"/>
      <c r="D6" s="3099"/>
      <c r="E6" s="140" t="s">
        <v>2129</v>
      </c>
      <c r="F6" s="2424"/>
      <c r="G6" s="2424"/>
      <c r="H6" s="2424"/>
      <c r="I6" s="1829"/>
    </row>
    <row r="7" spans="1:12" ht="13.2">
      <c r="A7" s="3076"/>
      <c r="B7" s="3014"/>
      <c r="C7" s="3081"/>
      <c r="D7" s="3099"/>
      <c r="E7" s="140" t="s">
        <v>2130</v>
      </c>
      <c r="F7" s="2424"/>
      <c r="G7" s="2424"/>
      <c r="H7" s="2424"/>
      <c r="I7" s="1829"/>
    </row>
    <row r="8" spans="1:12" ht="13.2">
      <c r="A8" s="3076" t="s">
        <v>2131</v>
      </c>
      <c r="B8" s="3014">
        <v>15</v>
      </c>
      <c r="C8" s="3079"/>
      <c r="D8" s="3099"/>
      <c r="E8" s="140" t="s">
        <v>2132</v>
      </c>
      <c r="F8" s="2424"/>
      <c r="G8" s="2424"/>
      <c r="H8" s="2424"/>
      <c r="I8" s="1829"/>
    </row>
    <row r="9" spans="1:12" ht="13.2">
      <c r="A9" s="3076"/>
      <c r="B9" s="3014"/>
      <c r="C9" s="3081"/>
      <c r="D9" s="3099"/>
      <c r="E9" s="140" t="s">
        <v>2133</v>
      </c>
      <c r="F9" s="2424"/>
      <c r="G9" s="2424"/>
      <c r="H9" s="2424"/>
      <c r="I9" s="1829"/>
    </row>
    <row r="10" spans="1:12" ht="13.2">
      <c r="A10" s="3076" t="s">
        <v>2134</v>
      </c>
      <c r="B10" s="3014">
        <v>15</v>
      </c>
      <c r="C10" s="3079"/>
      <c r="D10" s="3099"/>
      <c r="E10" s="140" t="s">
        <v>2135</v>
      </c>
      <c r="F10" s="2424"/>
      <c r="G10" s="2424"/>
      <c r="H10" s="2424"/>
      <c r="I10" s="1829"/>
    </row>
    <row r="11" spans="1:12" ht="13.2">
      <c r="A11" s="3076"/>
      <c r="B11" s="3014"/>
      <c r="C11" s="3081"/>
      <c r="D11" s="3099"/>
      <c r="E11" s="140" t="s">
        <v>2136</v>
      </c>
      <c r="F11" s="2424"/>
      <c r="G11" s="2424"/>
      <c r="H11" s="2424"/>
      <c r="I11" s="1829"/>
    </row>
    <row r="12" spans="1:12" ht="13.2">
      <c r="A12" s="3076" t="s">
        <v>2137</v>
      </c>
      <c r="B12" s="3014">
        <v>15</v>
      </c>
      <c r="C12" s="3079"/>
      <c r="D12" s="3099"/>
      <c r="E12" s="140" t="s">
        <v>2138</v>
      </c>
      <c r="F12" s="2424"/>
      <c r="G12" s="2424"/>
      <c r="H12" s="2424"/>
      <c r="I12" s="1829"/>
    </row>
    <row r="13" spans="1:12" ht="13.2">
      <c r="A13" s="3076"/>
      <c r="B13" s="3014"/>
      <c r="C13" s="3081"/>
      <c r="D13" s="3099"/>
      <c r="E13" s="140" t="s">
        <v>2139</v>
      </c>
      <c r="F13" s="2424"/>
      <c r="G13" s="2424"/>
      <c r="H13" s="2424"/>
      <c r="I13" s="1829"/>
    </row>
    <row r="14" spans="1:12" ht="13.2">
      <c r="A14" s="3076" t="s">
        <v>2140</v>
      </c>
      <c r="B14" s="3014">
        <v>30</v>
      </c>
      <c r="C14" s="3079">
        <v>5</v>
      </c>
      <c r="D14" s="3099">
        <v>5</v>
      </c>
      <c r="E14" s="140" t="s">
        <v>2141</v>
      </c>
      <c r="F14" s="2424"/>
      <c r="G14" s="2424"/>
      <c r="H14" s="2424"/>
      <c r="I14" s="1829"/>
    </row>
    <row r="15" spans="1:12" ht="13.2">
      <c r="A15" s="3076"/>
      <c r="B15" s="3014"/>
      <c r="C15" s="3080"/>
      <c r="D15" s="3099"/>
      <c r="E15" s="140" t="s">
        <v>2142</v>
      </c>
      <c r="F15" s="2424"/>
      <c r="G15" s="2424"/>
      <c r="H15" s="2424"/>
      <c r="I15" s="1829"/>
    </row>
    <row r="16" spans="1:12" ht="13.2">
      <c r="A16" s="3076"/>
      <c r="B16" s="3014"/>
      <c r="C16" s="3081"/>
      <c r="D16" s="3099"/>
      <c r="E16" s="140" t="s">
        <v>2143</v>
      </c>
      <c r="F16" s="2424"/>
      <c r="G16" s="2424"/>
      <c r="H16" s="2424"/>
      <c r="I16" s="1829"/>
    </row>
    <row r="17" spans="1:35" ht="14.4">
      <c r="A17" s="2425" t="s">
        <v>2144</v>
      </c>
      <c r="B17" s="64"/>
      <c r="C17" s="141">
        <f>SUM(C5:C16)</f>
        <v>5</v>
      </c>
      <c r="D17" s="141">
        <f>SUM(D5:D16)</f>
        <v>5</v>
      </c>
      <c r="E17" s="138"/>
      <c r="F17" s="138"/>
      <c r="G17" s="138"/>
      <c r="H17" s="138"/>
      <c r="I17" s="138"/>
      <c r="K17" s="2423"/>
      <c r="L17" s="2426" t="s">
        <v>2145</v>
      </c>
      <c r="M17" s="2426" t="s">
        <v>2146</v>
      </c>
    </row>
    <row r="18" spans="1:35" ht="15" thickBot="1">
      <c r="A18" s="2427" t="s">
        <v>2147</v>
      </c>
      <c r="B18" s="2428"/>
      <c r="C18" s="142">
        <f>ROUND(C17/SUM(C17:D17),2)</f>
        <v>0.5</v>
      </c>
      <c r="D18" s="142">
        <f>1-C18</f>
        <v>0.5</v>
      </c>
      <c r="E18" s="138"/>
      <c r="F18" s="138"/>
      <c r="G18" s="138"/>
      <c r="H18" s="138"/>
      <c r="I18" s="138"/>
      <c r="K18" s="2423" t="s">
        <v>2148</v>
      </c>
      <c r="L18" s="2423">
        <f>IF(C1="",'数据-汇总表'!E3,SUMIF(项目类型,C1,'数据-汇总表'!E17:E26)+SUMIF(项目类型,C1,'数据-汇总表'!I17:I26))</f>
        <v>49782.53</v>
      </c>
      <c r="M18" s="2423">
        <f>IF(C1="",'数据-汇总表'!E3,SUMIF(项目类型,C1,'数据-汇总表'!E17:E26))</f>
        <v>49782.53</v>
      </c>
    </row>
    <row r="19" spans="1:35" ht="14.4">
      <c r="A19" s="2429" t="s">
        <v>2149</v>
      </c>
      <c r="B19" s="2430" t="s">
        <v>2150</v>
      </c>
      <c r="C19" s="143">
        <f ca="1">SUMIF(INDIRECT("'"&amp;C4&amp;"'"&amp;"!A:A"),结果表!B19,INDIRECT("'"&amp;C4&amp;"'"&amp;"!B:B"))</f>
        <v>32493</v>
      </c>
      <c r="D19" s="144">
        <f ca="1">SUMIF(INDIRECT("'"&amp;D4&amp;"'"&amp;"!A:A"),结果表!B19,INDIRECT("'"&amp;D4&amp;"'"&amp;"!B:B"))</f>
        <v>38377</v>
      </c>
      <c r="E19" s="2429" t="s">
        <v>2151</v>
      </c>
      <c r="F19" s="2430" t="s">
        <v>2150</v>
      </c>
      <c r="G19" s="145">
        <f ca="1">ROUND(C19*$C$18+D19*$D$18,0)</f>
        <v>35435</v>
      </c>
      <c r="H19" s="2431" t="s">
        <v>2152</v>
      </c>
      <c r="I19" s="138"/>
      <c r="K19" s="2423" t="s">
        <v>2153</v>
      </c>
      <c r="L19" s="2423">
        <f>IF(C1="",'数据-汇总表'!D3,SUMIF(项目类型,C1,'数据-汇总表'!D17:D26)+SUMIF(项目类型,C1,'数据-汇总表'!H17:H27))</f>
        <v>28191.57</v>
      </c>
      <c r="M19" s="2423">
        <f>IF(C1="",'数据-汇总表'!D3,SUMIF(项目类型,C1,'数据-汇总表'!D17:D26))</f>
        <v>28191.57</v>
      </c>
    </row>
    <row r="20" spans="1:35" ht="14.4">
      <c r="A20" s="2432"/>
      <c r="B20" s="1247" t="s">
        <v>2154</v>
      </c>
      <c r="C20" s="146">
        <f ca="1">SUMIF(INDIRECT("'"&amp;C4&amp;"'"&amp;"!A:A"),结果表!B20,INDIRECT("'"&amp;C4&amp;"'"&amp;"!B:B"))</f>
        <v>6527</v>
      </c>
      <c r="D20" s="147">
        <f ca="1">SUMIF(INDIRECT("'"&amp;D4&amp;"'"&amp;"!A:A"),结果表!B20,INDIRECT("'"&amp;D4&amp;"'"&amp;"!B:B"))</f>
        <v>7709</v>
      </c>
      <c r="E20" s="2432"/>
      <c r="F20" s="1247" t="s">
        <v>2154</v>
      </c>
      <c r="G20" s="148">
        <f ca="1">ROUND(C20*$C$18+D20*$D$18,0)</f>
        <v>7118</v>
      </c>
      <c r="H20" s="980" t="s">
        <v>2155</v>
      </c>
      <c r="I20" s="138"/>
    </row>
    <row r="21" spans="1:35" ht="15" customHeight="1" thickBot="1">
      <c r="A21" s="1000"/>
      <c r="B21" s="2433" t="s">
        <v>2156</v>
      </c>
      <c r="C21" s="789">
        <f ca="1">ROUND(C19*10000/L19,0)</f>
        <v>11526</v>
      </c>
      <c r="D21" s="790">
        <f ca="1">ROUND(D19*10000/L19,0)</f>
        <v>13613</v>
      </c>
      <c r="E21" s="1000"/>
      <c r="F21" s="2433" t="s">
        <v>2156</v>
      </c>
      <c r="G21" s="149">
        <f ca="1">ROUND(G19*10000/L19,0)</f>
        <v>12569</v>
      </c>
      <c r="H21" s="2434" t="s">
        <v>2155</v>
      </c>
      <c r="I21" s="138"/>
    </row>
    <row r="22" spans="1:35" ht="15" thickBot="1">
      <c r="A22" s="2275" t="s">
        <v>2157</v>
      </c>
      <c r="B22" s="2435"/>
      <c r="C22" s="2436"/>
      <c r="D22" s="791">
        <f ca="1">IF(C19&lt;D19,D19/C19-1,C19/D19-1)</f>
        <v>0.18108515680300363</v>
      </c>
      <c r="E22" s="138"/>
      <c r="F22" s="138"/>
      <c r="G22" s="138"/>
      <c r="H22" s="138"/>
      <c r="I22" s="138"/>
    </row>
    <row r="23" spans="1:35" ht="13.8" thickBot="1">
      <c r="A23" s="2413"/>
      <c r="B23" s="2413"/>
      <c r="C23" s="2413"/>
      <c r="D23" s="2413"/>
      <c r="E23" s="138"/>
      <c r="F23" s="138"/>
      <c r="G23" s="138"/>
      <c r="H23" s="138"/>
      <c r="I23" s="138"/>
    </row>
    <row r="24" spans="1:35" ht="14.4">
      <c r="A24" s="3070" t="s">
        <v>2158</v>
      </c>
      <c r="B24" s="2430" t="s">
        <v>2150</v>
      </c>
      <c r="C24" s="145">
        <f>IF(B30=0,0,D30)</f>
        <v>0</v>
      </c>
      <c r="D24" s="2437"/>
      <c r="E24" s="138"/>
      <c r="F24" s="138"/>
      <c r="G24" s="138"/>
      <c r="H24" s="138"/>
      <c r="I24" s="138"/>
    </row>
    <row r="25" spans="1:35" ht="14.4">
      <c r="A25" s="3071"/>
      <c r="B25" s="1247" t="s">
        <v>2154</v>
      </c>
      <c r="C25" s="150">
        <f>IF(B30=0,0,C30)</f>
        <v>0</v>
      </c>
      <c r="D25" s="2438"/>
      <c r="E25" s="138"/>
      <c r="F25" s="138"/>
      <c r="G25" s="138"/>
      <c r="H25" s="138"/>
      <c r="I25" s="138"/>
    </row>
    <row r="26" spans="1:35" ht="13.5" customHeight="1">
      <c r="A26" s="2439" t="s">
        <v>2159</v>
      </c>
      <c r="B26" s="151" t="s">
        <v>2160</v>
      </c>
      <c r="C26" s="151" t="s">
        <v>2161</v>
      </c>
      <c r="D26" s="152" t="s">
        <v>2162</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f ca="1">G19/假设开发法!C4</f>
        <v>0.82059654485665323</v>
      </c>
      <c r="E28" s="138"/>
      <c r="F28" s="138"/>
      <c r="G28" s="138"/>
      <c r="H28" s="138"/>
      <c r="I28" s="138"/>
    </row>
    <row r="29" spans="1:35" ht="13.8">
      <c r="A29" s="2439"/>
      <c r="B29" s="151"/>
      <c r="C29" s="151"/>
      <c r="D29" s="152"/>
      <c r="E29" s="138"/>
      <c r="F29" s="138"/>
      <c r="G29" s="138"/>
      <c r="H29" s="138"/>
      <c r="I29" s="138"/>
    </row>
    <row r="30" spans="1:35" ht="14.4">
      <c r="A30" s="151" t="s">
        <v>2163</v>
      </c>
      <c r="B30" s="151"/>
      <c r="C30" s="151"/>
      <c r="D30" s="151"/>
      <c r="E30" s="2919" t="s">
        <v>3038</v>
      </c>
      <c r="F30" s="138"/>
      <c r="G30" s="138"/>
      <c r="H30" s="138"/>
      <c r="I30" s="138"/>
    </row>
    <row r="31" spans="1:35" s="2441" customFormat="1" ht="14.4"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 thickBot="1">
      <c r="A32" s="2442" t="s">
        <v>2164</v>
      </c>
      <c r="B32" s="2443"/>
      <c r="C32" s="153">
        <f ca="1">IF(D32="总价",G19-C24,G20-C25)</f>
        <v>35435</v>
      </c>
      <c r="D32" s="2444" t="s">
        <v>2165</v>
      </c>
      <c r="E32" s="138"/>
      <c r="F32" s="138"/>
      <c r="G32" s="138"/>
      <c r="H32" s="138"/>
      <c r="I32" s="138"/>
    </row>
    <row r="33" spans="1:15" ht="14.4">
      <c r="A33" s="957" t="s">
        <v>2166</v>
      </c>
      <c r="B33" s="2445"/>
      <c r="C33" s="2446" t="s">
        <v>3428</v>
      </c>
      <c r="D33" s="2447" t="s">
        <v>3426</v>
      </c>
      <c r="E33" s="2448" t="s">
        <v>2167</v>
      </c>
      <c r="F33" s="2449" t="str">
        <f>IF(D32="楼面单价","取值（单价）","取值（总价）")</f>
        <v>取值（总价）</v>
      </c>
      <c r="G33" s="138"/>
      <c r="H33" s="138"/>
      <c r="I33" s="138"/>
    </row>
    <row r="34" spans="1:15" ht="14.4">
      <c r="A34" s="2450"/>
      <c r="B34" s="2451" t="s">
        <v>2168</v>
      </c>
      <c r="C34" s="157">
        <f ca="1">IF(C33="自定义",F34,C32-C35)</f>
        <v>15414</v>
      </c>
      <c r="D34" s="1055">
        <f ca="1">IF(C33="自定义",ROUND(C34/C32,3),IF(C33="收益比率",SUMIF(INDIRECT("'"&amp;D33&amp;"'"&amp;"!b:b"),"土地收益比率",INDIRECT("'"&amp;D33&amp;"'"&amp;"!c:c")),SUMIF(INDIRECT("'"&amp;D33&amp;"'"&amp;"!b:b"),"土地成本比率",INDIRECT("'"&amp;D33&amp;"'"&amp;"!c:c"))))</f>
        <v>0.43500000000000005</v>
      </c>
      <c r="E34" s="2452" t="s">
        <v>2169</v>
      </c>
      <c r="F34" s="1734"/>
      <c r="G34" s="138"/>
      <c r="H34" s="138"/>
      <c r="I34" s="138"/>
    </row>
    <row r="35" spans="1:15" ht="15" thickBot="1">
      <c r="A35" s="2453"/>
      <c r="B35" s="2454" t="s">
        <v>2170</v>
      </c>
      <c r="C35" s="1440">
        <f ca="1">IF(C33="自定义",F35,ROUND(C32*D35,0))</f>
        <v>20021</v>
      </c>
      <c r="D35" s="1441">
        <f ca="1">IF(C33="自定义",ROUND(C35/C32,3),IF(C33="收益比率",SUMIF(INDIRECT("'"&amp;D33&amp;"'"&amp;"!b:b"),"建筑物收益比率",INDIRECT("'"&amp;D33&amp;"'"&amp;"!c:c")),SUMIF(INDIRECT("'"&amp;D33&amp;"'"&amp;"!b:b"),"建筑物成本比率",INDIRECT("'"&amp;D33&amp;"'"&amp;"!c:c"))))</f>
        <v>0.56499999999999995</v>
      </c>
      <c r="E35" s="2455" t="s">
        <v>2171</v>
      </c>
      <c r="F35" s="163"/>
      <c r="G35" s="138"/>
      <c r="H35" s="138"/>
      <c r="I35" s="138"/>
    </row>
    <row r="36" spans="1:15" ht="15" thickBot="1">
      <c r="A36" s="3088" t="s">
        <v>2172</v>
      </c>
      <c r="B36" s="2456" t="s">
        <v>2173</v>
      </c>
      <c r="C36" s="154"/>
      <c r="D36" s="2457"/>
      <c r="E36" s="2458"/>
      <c r="F36" s="2459"/>
      <c r="G36" s="138"/>
      <c r="H36" s="138"/>
      <c r="I36" s="138"/>
    </row>
    <row r="37" spans="1:15" ht="15" thickBot="1">
      <c r="A37" s="3089"/>
      <c r="B37" s="2261" t="s">
        <v>2174</v>
      </c>
      <c r="C37" s="156"/>
      <c r="D37" s="1391"/>
      <c r="E37" s="1391"/>
      <c r="F37" s="2459"/>
      <c r="G37" s="138"/>
      <c r="H37" s="138"/>
      <c r="I37" s="138"/>
    </row>
    <row r="38" spans="1:15" ht="15" thickBot="1">
      <c r="A38" s="3090"/>
      <c r="B38" s="2460" t="s">
        <v>2175</v>
      </c>
      <c r="C38" s="727"/>
      <c r="D38" s="2461" t="s">
        <v>2176</v>
      </c>
      <c r="E38" s="1391"/>
      <c r="F38" s="2459"/>
      <c r="G38" s="138"/>
      <c r="H38" s="138"/>
      <c r="I38" s="138"/>
    </row>
    <row r="39" spans="1:15" ht="14.4">
      <c r="A39" s="2432" t="s">
        <v>2177</v>
      </c>
      <c r="B39" s="2462" t="s">
        <v>2178</v>
      </c>
      <c r="C39" s="2463" t="s">
        <v>2179</v>
      </c>
      <c r="D39" s="2463" t="s">
        <v>2180</v>
      </c>
      <c r="E39" s="2464" t="s">
        <v>2181</v>
      </c>
      <c r="F39" s="2459"/>
      <c r="G39" s="138"/>
      <c r="H39" s="138"/>
      <c r="I39" s="138"/>
    </row>
    <row r="40" spans="1:15" ht="13.8">
      <c r="A40" s="2465" t="s">
        <v>2182</v>
      </c>
      <c r="B40" s="158"/>
      <c r="C40" s="159"/>
      <c r="D40" s="159"/>
      <c r="E40" s="160"/>
      <c r="F40" s="2459"/>
      <c r="G40" s="138"/>
      <c r="H40" s="138"/>
      <c r="I40" s="138"/>
    </row>
    <row r="41" spans="1:15" ht="13.8">
      <c r="A41" s="2465" t="s">
        <v>2183</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60"/>
      <c r="B43" s="2160"/>
      <c r="C43" s="2160"/>
      <c r="D43" s="2160"/>
      <c r="E43" s="2160"/>
      <c r="F43" s="2467"/>
      <c r="G43" s="2467"/>
      <c r="H43" s="2467"/>
      <c r="I43" s="2468"/>
    </row>
    <row r="44" spans="1:15" ht="17.399999999999999">
      <c r="A44" s="2469" t="s">
        <v>2184</v>
      </c>
      <c r="B44" s="2470"/>
      <c r="C44" s="2470"/>
      <c r="D44" s="2471"/>
      <c r="E44" s="2471"/>
      <c r="F44" s="2472"/>
      <c r="G44" s="2472"/>
      <c r="H44" s="2472"/>
      <c r="I44" s="2472"/>
      <c r="J44" s="2473" t="s">
        <v>2185</v>
      </c>
      <c r="K44" s="2474"/>
      <c r="L44" s="2474"/>
      <c r="M44" s="2474"/>
      <c r="N44" s="2474"/>
      <c r="O44" s="2474"/>
    </row>
    <row r="45" spans="1:15" ht="14.25" customHeight="1" thickBot="1">
      <c r="A45" s="3067" t="s">
        <v>2186</v>
      </c>
      <c r="B45" s="3068"/>
      <c r="C45" s="3069"/>
      <c r="D45" s="164">
        <f ca="1">ROUND(H101*F45,0)</f>
        <v>35435</v>
      </c>
      <c r="E45" s="165" t="s">
        <v>2187</v>
      </c>
      <c r="F45" s="166">
        <v>1</v>
      </c>
      <c r="G45" s="167" t="s">
        <v>2188</v>
      </c>
      <c r="H45" s="138"/>
      <c r="I45" s="138"/>
      <c r="J45" s="3127" t="s">
        <v>2189</v>
      </c>
      <c r="K45" s="3127"/>
      <c r="L45" s="3127"/>
      <c r="M45" s="3127"/>
      <c r="N45" s="3127"/>
      <c r="O45" s="3127"/>
    </row>
    <row r="46" spans="1:15" ht="14.25" customHeight="1">
      <c r="A46" s="3064" t="s">
        <v>2190</v>
      </c>
      <c r="B46" s="3065"/>
      <c r="C46" s="3065"/>
      <c r="D46" s="3065"/>
      <c r="E46" s="3065"/>
      <c r="F46" s="3065"/>
      <c r="G46" s="3066"/>
      <c r="H46" s="2475"/>
      <c r="I46" s="168"/>
      <c r="J46" s="1807">
        <v>1</v>
      </c>
      <c r="K46" s="3127" t="s">
        <v>2191</v>
      </c>
      <c r="L46" s="3127"/>
      <c r="M46" s="3147"/>
      <c r="N46" s="3147"/>
      <c r="O46" s="3147"/>
    </row>
    <row r="47" spans="1:15" ht="12" customHeight="1">
      <c r="A47" s="169" t="s">
        <v>2192</v>
      </c>
      <c r="B47" s="170"/>
      <c r="C47" s="171"/>
      <c r="D47" s="172" t="s">
        <v>2193</v>
      </c>
      <c r="E47" s="24" t="s">
        <v>2194</v>
      </c>
      <c r="F47" s="173" t="s">
        <v>2195</v>
      </c>
      <c r="G47" s="174" t="s">
        <v>2196</v>
      </c>
      <c r="H47" s="2475"/>
      <c r="I47" s="168"/>
      <c r="J47" s="1807">
        <v>2</v>
      </c>
      <c r="K47" s="3127" t="s">
        <v>2197</v>
      </c>
      <c r="L47" s="3127"/>
      <c r="M47" s="3148">
        <f>'数据-取费表'!B2</f>
        <v>43342</v>
      </c>
      <c r="N47" s="3148"/>
      <c r="O47" s="3148"/>
    </row>
    <row r="48" spans="1:15" ht="26.4">
      <c r="A48" s="3095" t="s">
        <v>2198</v>
      </c>
      <c r="B48" s="3078"/>
      <c r="C48" s="3078"/>
      <c r="D48" s="140">
        <f>IF(H48="情况1",0,IF(H48="情况2",D52,IF(H48="情况3",D53,IF(H48="情况4",D54))))</f>
        <v>0</v>
      </c>
      <c r="E48" s="1796" t="str">
        <f>IF(H48="情况4","(销售额-原购置价)×税（费）率","销售额×税（费）率")</f>
        <v>销售额×税（费）率</v>
      </c>
      <c r="F48" s="175" t="str">
        <f>IF(H48="情况1","免征",'数据-取费表'!B41)</f>
        <v>免征</v>
      </c>
      <c r="G48" s="2476" t="s">
        <v>2199</v>
      </c>
      <c r="H48" s="2477" t="s">
        <v>2200</v>
      </c>
      <c r="I48" s="2475"/>
      <c r="J48" s="1807">
        <v>3</v>
      </c>
      <c r="K48" s="3127" t="s">
        <v>2201</v>
      </c>
      <c r="L48" s="3127"/>
      <c r="M48" s="3149">
        <f ca="1">H101</f>
        <v>35435</v>
      </c>
      <c r="N48" s="3149"/>
      <c r="O48" s="3149"/>
    </row>
    <row r="49" spans="1:35" ht="25.5" customHeight="1">
      <c r="A49" s="176" t="s">
        <v>2202</v>
      </c>
      <c r="B49" s="3063" t="s">
        <v>2203</v>
      </c>
      <c r="C49" s="3063"/>
      <c r="D49" s="177">
        <v>0</v>
      </c>
      <c r="E49" s="23" t="s">
        <v>2204</v>
      </c>
      <c r="F49" s="28" t="s">
        <v>34</v>
      </c>
      <c r="G49" s="3133"/>
      <c r="H49" s="138"/>
      <c r="I49" s="2478"/>
      <c r="J49" s="1807">
        <v>4</v>
      </c>
      <c r="K49" s="3127" t="str">
        <f>IF(项目基本情况!E8="房地产抵押价值","房地产抵押价值","抵押担保权已注销时的房地产抵押价值")</f>
        <v>房地产抵押价值</v>
      </c>
      <c r="L49" s="3127"/>
      <c r="M49" s="3149">
        <f ca="1">IF(项目基本情况!E8="房地产抵押价值",H107,H109)</f>
        <v>35435</v>
      </c>
      <c r="N49" s="3149"/>
      <c r="O49" s="3149"/>
    </row>
    <row r="50" spans="1:35" ht="25.5" customHeight="1">
      <c r="A50" s="178"/>
      <c r="B50" s="3063" t="s">
        <v>2205</v>
      </c>
      <c r="C50" s="3063"/>
      <c r="D50" s="179"/>
      <c r="E50" s="31"/>
      <c r="F50" s="180"/>
      <c r="G50" s="3134"/>
      <c r="H50" s="138"/>
      <c r="I50" s="2478"/>
      <c r="J50" s="3127" t="s">
        <v>2206</v>
      </c>
      <c r="K50" s="3127"/>
      <c r="L50" s="3127"/>
      <c r="M50" s="3127"/>
      <c r="N50" s="3127"/>
      <c r="O50" s="3127"/>
    </row>
    <row r="51" spans="1:35" ht="12" customHeight="1">
      <c r="A51" s="181"/>
      <c r="B51" s="3063" t="s">
        <v>2207</v>
      </c>
      <c r="C51" s="3063"/>
      <c r="D51" s="182"/>
      <c r="E51" s="30"/>
      <c r="F51" s="180"/>
      <c r="G51" s="3135"/>
      <c r="H51" s="138"/>
      <c r="I51" s="2478"/>
      <c r="J51" s="2479" t="s">
        <v>2208</v>
      </c>
      <c r="K51" s="3127" t="s">
        <v>2209</v>
      </c>
      <c r="L51" s="3127"/>
      <c r="M51" s="2479" t="s">
        <v>2210</v>
      </c>
      <c r="N51" s="2479" t="s">
        <v>2211</v>
      </c>
      <c r="O51" s="2479" t="s">
        <v>2212</v>
      </c>
    </row>
    <row r="52" spans="1:35" ht="24" customHeight="1">
      <c r="A52" s="183" t="s">
        <v>2213</v>
      </c>
      <c r="B52" s="3063" t="s">
        <v>2214</v>
      </c>
      <c r="C52" s="3063"/>
      <c r="D52" s="182">
        <f ca="1">ROUND(D45*'数据-取费表'!B41/(1+'数据-取费表'!C42),0)</f>
        <v>1890</v>
      </c>
      <c r="E52" s="11" t="s">
        <v>2215</v>
      </c>
      <c r="F52" s="184">
        <f>'数据-取费表'!B41</f>
        <v>5.6000000000000001E-2</v>
      </c>
      <c r="G52" s="2480"/>
      <c r="H52" s="138"/>
      <c r="I52" s="2478"/>
      <c r="J52" s="1807">
        <v>1</v>
      </c>
      <c r="K52" s="3128" t="s">
        <v>2216</v>
      </c>
      <c r="L52" s="3128"/>
      <c r="M52" s="1749">
        <f>D48</f>
        <v>0</v>
      </c>
      <c r="N52" s="1807" t="str">
        <f>E48</f>
        <v>销售额×税（费）率</v>
      </c>
      <c r="O52" s="1750" t="str">
        <f>F48</f>
        <v>免征</v>
      </c>
    </row>
    <row r="53" spans="1:35" ht="12" customHeight="1">
      <c r="A53" s="183" t="s">
        <v>2217</v>
      </c>
      <c r="B53" s="3086" t="s">
        <v>2218</v>
      </c>
      <c r="C53" s="3087"/>
      <c r="D53" s="182">
        <f ca="1">ROUND(D45*'数据-取费表'!B41/(1+'数据-取费表'!C42),0)</f>
        <v>1890</v>
      </c>
      <c r="E53" s="11" t="s">
        <v>2215</v>
      </c>
      <c r="F53" s="184">
        <f>'数据-取费表'!B41</f>
        <v>5.6000000000000001E-2</v>
      </c>
      <c r="G53" s="2480"/>
      <c r="H53" s="138"/>
      <c r="I53" s="2478"/>
      <c r="J53" s="1807">
        <v>2</v>
      </c>
      <c r="K53" s="3128" t="s">
        <v>2219</v>
      </c>
      <c r="L53" s="3128"/>
      <c r="M53" s="1749">
        <f t="shared" ref="M53:O54" ca="1" si="0">D55</f>
        <v>18</v>
      </c>
      <c r="N53" s="1807" t="str">
        <f t="shared" si="0"/>
        <v>销售额×税（费）率</v>
      </c>
      <c r="O53" s="1750">
        <f t="shared" si="0"/>
        <v>5.0000000000000001E-4</v>
      </c>
    </row>
    <row r="54" spans="1:35" ht="12" customHeight="1">
      <c r="A54" s="183" t="s">
        <v>2220</v>
      </c>
      <c r="B54" s="3086" t="s">
        <v>2221</v>
      </c>
      <c r="C54" s="3087"/>
      <c r="D54" s="182">
        <f ca="1">C68</f>
        <v>1890</v>
      </c>
      <c r="E54" s="30" t="s">
        <v>2222</v>
      </c>
      <c r="F54" s="184">
        <f>'数据-取费表'!B41</f>
        <v>5.6000000000000001E-2</v>
      </c>
      <c r="G54" s="2480"/>
      <c r="H54" s="2481"/>
      <c r="I54" s="2478"/>
      <c r="J54" s="1807">
        <v>3</v>
      </c>
      <c r="K54" s="3128" t="s">
        <v>2223</v>
      </c>
      <c r="L54" s="3128"/>
      <c r="M54" s="1749">
        <f t="shared" ca="1" si="0"/>
        <v>20057</v>
      </c>
      <c r="N54" s="1807" t="str">
        <f t="shared" si="0"/>
        <v>增值额×税（费）率</v>
      </c>
      <c r="O54" s="1751" t="str">
        <f t="shared" si="0"/>
        <v>——</v>
      </c>
    </row>
    <row r="55" spans="1:35" ht="24" customHeight="1">
      <c r="A55" s="3077" t="s">
        <v>2224</v>
      </c>
      <c r="B55" s="3078"/>
      <c r="C55" s="3078"/>
      <c r="D55" s="185">
        <f ca="1">IF(H55="个人住宅",0,ROUND(D45*I55,0))</f>
        <v>18</v>
      </c>
      <c r="E55" s="11" t="s">
        <v>2225</v>
      </c>
      <c r="F55" s="184">
        <f>IF(H55="正常",I55,"免征")</f>
        <v>5.0000000000000001E-4</v>
      </c>
      <c r="G55" s="2480"/>
      <c r="H55" s="2477" t="s">
        <v>2226</v>
      </c>
      <c r="I55" s="186">
        <f>'数据-取费表'!B49</f>
        <v>5.0000000000000001E-4</v>
      </c>
      <c r="J55" s="1807" t="str">
        <f>IF(H59="非个人房产","",4)</f>
        <v/>
      </c>
      <c r="K55" s="3128" t="str">
        <f>IF(H59="非个人房产","——","个人所得税")</f>
        <v>——</v>
      </c>
      <c r="L55" s="3128"/>
      <c r="M55" s="1752" t="str">
        <f>D59</f>
        <v>——</v>
      </c>
      <c r="N55" s="1805" t="str">
        <f>E59</f>
        <v>——</v>
      </c>
      <c r="O55" s="1753" t="str">
        <f>F59</f>
        <v>——</v>
      </c>
    </row>
    <row r="56" spans="1:35" ht="25.2">
      <c r="A56" s="3077" t="s">
        <v>2227</v>
      </c>
      <c r="B56" s="3078"/>
      <c r="C56" s="3078"/>
      <c r="D56" s="185">
        <f ca="1">IF(H56="个人住宅",D57,D58)</f>
        <v>20057</v>
      </c>
      <c r="E56" s="11" t="s">
        <v>2228</v>
      </c>
      <c r="F56" s="184" t="str">
        <f>IF(H56="正常",F58,"免征")</f>
        <v>——</v>
      </c>
      <c r="G56" s="2482" t="s">
        <v>2229</v>
      </c>
      <c r="H56" s="2483" t="s">
        <v>2226</v>
      </c>
      <c r="I56" s="2484"/>
      <c r="J56" s="1807" t="str">
        <f>IF(项目基本情况!K6="上海银行",IF(J55="",4,J55+1),"")</f>
        <v/>
      </c>
      <c r="K56" s="3151" t="str">
        <f>IF(项目基本情况!K6="上海银行","其他处置费用","")</f>
        <v/>
      </c>
      <c r="L56" s="3152"/>
      <c r="M56" s="1749" t="str">
        <f>IF(项目基本情况!K6="上海银行",M69,"")</f>
        <v/>
      </c>
      <c r="N56" s="3154" t="str">
        <f>IF(项目基本情况!K6="上海银行","包含处置中涉及的律师、诉讼、拍卖、评估等费用","")</f>
        <v/>
      </c>
      <c r="O56" s="3155"/>
    </row>
    <row r="57" spans="1:35" ht="13.2">
      <c r="A57" s="183" t="s">
        <v>2202</v>
      </c>
      <c r="B57" s="3093" t="s">
        <v>2230</v>
      </c>
      <c r="C57" s="3102"/>
      <c r="D57" s="187">
        <v>0</v>
      </c>
      <c r="E57" s="23" t="s">
        <v>2204</v>
      </c>
      <c r="F57" s="155"/>
      <c r="G57" s="2480"/>
      <c r="H57" s="2484"/>
      <c r="I57" s="2484"/>
      <c r="J57" s="3128">
        <f>IF(AND(J55="",J56=""),4,IF(项目基本情况!K6="上海银行",结果表!J56+1,结果表!J55+1))</f>
        <v>4</v>
      </c>
      <c r="K57" s="3128" t="s">
        <v>2231</v>
      </c>
      <c r="L57" s="2485" t="s">
        <v>2232</v>
      </c>
      <c r="M57" s="1754"/>
      <c r="N57" s="1755">
        <f ca="1">SUMIF(M52:M56,"&lt;9e307")</f>
        <v>20075</v>
      </c>
      <c r="O57" s="2486"/>
      <c r="P57" s="1748">
        <f ca="1">N57/M49</f>
        <v>0.56653026668548045</v>
      </c>
    </row>
    <row r="58" spans="1:35" ht="25.2">
      <c r="A58" s="183" t="s">
        <v>2213</v>
      </c>
      <c r="B58" s="3093" t="s">
        <v>2233</v>
      </c>
      <c r="C58" s="3094"/>
      <c r="D58" s="185">
        <f ca="1">IF(H58="转让取得",C81,C97)</f>
        <v>20057</v>
      </c>
      <c r="E58" s="11" t="s">
        <v>2228</v>
      </c>
      <c r="F58" s="24" t="s">
        <v>34</v>
      </c>
      <c r="G58" s="2480"/>
      <c r="H58" s="2483" t="s">
        <v>2234</v>
      </c>
      <c r="I58" s="2484"/>
      <c r="J58" s="3128"/>
      <c r="K58" s="3128"/>
      <c r="L58" s="2485" t="s">
        <v>2235</v>
      </c>
      <c r="M58" s="1756"/>
      <c r="N58" s="2487" t="str">
        <f ca="1">NUMBERSTRING(INT(N57*10000),2)&amp;"元整"</f>
        <v>贰亿零柒拾伍万元整</v>
      </c>
      <c r="O58" s="2488"/>
    </row>
    <row r="59" spans="1:35" ht="24.6"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89" t="s">
        <v>2229</v>
      </c>
      <c r="H59" s="2483" t="s">
        <v>2237</v>
      </c>
      <c r="I59" s="191">
        <v>0.01</v>
      </c>
      <c r="J59" s="3129">
        <f>J57+1</f>
        <v>5</v>
      </c>
      <c r="K59" s="3128" t="s">
        <v>2238</v>
      </c>
      <c r="L59" s="1807" t="s">
        <v>2232</v>
      </c>
      <c r="M59" s="1757"/>
      <c r="N59" s="1758">
        <f ca="1">M49-N57</f>
        <v>15360</v>
      </c>
      <c r="O59" s="2490"/>
    </row>
    <row r="60" spans="1:35" ht="12" customHeight="1">
      <c r="A60" s="2491"/>
      <c r="B60" s="2413"/>
      <c r="C60" s="2413"/>
      <c r="D60" s="2413"/>
      <c r="E60" s="2161"/>
      <c r="F60" s="2484"/>
      <c r="G60" s="2484"/>
      <c r="H60" s="2492"/>
      <c r="I60" s="138"/>
      <c r="J60" s="3130"/>
      <c r="K60" s="3128"/>
      <c r="L60" s="2485" t="s">
        <v>2235</v>
      </c>
      <c r="M60" s="1756"/>
      <c r="N60" s="2487" t="str">
        <f ca="1">NUMBERSTRING(INT(N59*10000),2)&amp;"元整"</f>
        <v>壹亿伍仟叁佰陆拾万元整</v>
      </c>
      <c r="O60" s="2488"/>
    </row>
    <row r="61" spans="1:35" ht="13.8" thickBot="1">
      <c r="A61" s="3075" t="s">
        <v>2239</v>
      </c>
      <c r="B61" s="3075"/>
      <c r="C61" s="3075"/>
      <c r="D61" s="3075"/>
      <c r="E61" s="3075"/>
      <c r="F61" s="2484"/>
      <c r="G61" s="2484"/>
      <c r="H61" s="2492"/>
      <c r="I61" s="138"/>
      <c r="J61" s="1807">
        <f>J59+1</f>
        <v>6</v>
      </c>
      <c r="K61" s="3128" t="s">
        <v>2240</v>
      </c>
      <c r="L61" s="3128"/>
      <c r="M61" s="1759"/>
      <c r="N61" s="1760">
        <f ca="1">ROUND(N59*10000/'数据-汇总表'!E3,0)</f>
        <v>3085</v>
      </c>
      <c r="O61" s="2493"/>
    </row>
    <row r="62" spans="1:35" ht="13.2">
      <c r="A62" s="3091" t="s">
        <v>2241</v>
      </c>
      <c r="B62" s="3092"/>
      <c r="C62" s="1799"/>
      <c r="D62" s="1799" t="s">
        <v>2242</v>
      </c>
      <c r="E62" s="192" t="s">
        <v>2243</v>
      </c>
      <c r="F62" s="2484"/>
      <c r="G62" s="2484"/>
      <c r="H62" s="2492"/>
      <c r="I62" s="138"/>
    </row>
    <row r="63" spans="1:35" ht="13.2">
      <c r="A63" s="203" t="s">
        <v>775</v>
      </c>
      <c r="B63" s="193" t="s">
        <v>2244</v>
      </c>
      <c r="C63" s="194">
        <f ca="1">ROUND((C64+C65)/(1+'数据-取费表'!C42),0)</f>
        <v>33748</v>
      </c>
      <c r="D63" s="195"/>
      <c r="E63" s="196"/>
      <c r="F63" s="2484"/>
      <c r="G63" s="2484"/>
      <c r="H63" s="2492"/>
      <c r="I63" s="138"/>
      <c r="J63" s="3153" t="s">
        <v>2245</v>
      </c>
      <c r="K63" s="2494" t="s">
        <v>2246</v>
      </c>
      <c r="L63" s="1747">
        <f ca="1">IF(M49&gt;10000,M49*0.5%,IF(AND(M49&gt;1000,M49&lt;=10000),M49*1%,IF(AND(M49&gt;100,M49&lt;=1000),M49*3%,IF(AND(M49&gt;10,M49&lt;=100),M49*5%,M49*8%))))</f>
        <v>177.17500000000001</v>
      </c>
      <c r="M63" s="24">
        <f ca="1">ROUND(L63,1)</f>
        <v>177.2</v>
      </c>
      <c r="Z63" s="2418"/>
      <c r="AI63" s="2419"/>
    </row>
    <row r="64" spans="1:35" ht="14.25" customHeight="1">
      <c r="A64" s="197" t="s">
        <v>770</v>
      </c>
      <c r="B64" s="198" t="s">
        <v>2247</v>
      </c>
      <c r="C64" s="199">
        <f ca="1">D45</f>
        <v>35435</v>
      </c>
      <c r="D64" s="200" t="s">
        <v>32</v>
      </c>
      <c r="E64" s="201"/>
      <c r="F64" s="2484"/>
      <c r="G64" s="2484"/>
      <c r="H64" s="2492"/>
      <c r="I64" s="138"/>
      <c r="J64" s="3153"/>
      <c r="K64" s="2494" t="s">
        <v>2248</v>
      </c>
      <c r="L64" s="1747">
        <f ca="1">IF(M49&gt;2000,M49*0.5%,IF(AND(M49&gt;1000,M49&lt;=2000),M49*0.6%,IF(AND(M49&gt;500,M49&lt;=1000),M49*0.7%,IF(AND(M49&gt;200,M49&lt;=500),M49*0.8%,IF(AND(M49&gt;100,M49&lt;=200),M49*0.9%,IF(AND(M49&gt;50,M49&lt;=100),M49*1%,IF(AND(M49&gt;20,M49&lt;=50),M49*1.5%,IF(AND(M49&gt;10,M49&lt;=20),M49*2%,IF(AND(M49&gt;1,M49&lt;=10),M49*2.5%)))))))))</f>
        <v>177.17500000000001</v>
      </c>
      <c r="M64" s="24">
        <f t="shared" ref="M64:M65" ca="1" si="1">ROUND(L64,1)</f>
        <v>177.2</v>
      </c>
      <c r="N64" s="138" t="s">
        <v>2249</v>
      </c>
      <c r="Z64" s="2418"/>
      <c r="AI64" s="2419"/>
    </row>
    <row r="65" spans="1:35" ht="14.25" customHeight="1">
      <c r="A65" s="197" t="s">
        <v>771</v>
      </c>
      <c r="B65" s="198" t="s">
        <v>2250</v>
      </c>
      <c r="C65" s="202"/>
      <c r="D65" s="200"/>
      <c r="E65" s="201"/>
      <c r="F65" s="2484"/>
      <c r="G65" s="2484"/>
      <c r="H65" s="2492"/>
      <c r="I65" s="138"/>
      <c r="J65" s="3153"/>
      <c r="K65" s="2494" t="s">
        <v>2251</v>
      </c>
      <c r="L65" s="1747">
        <f ca="1">IF(M49&gt;1000,M49*0.1%,IF(AND(M49&gt;500,M49&lt;=1000),M49*0.5%,IF(AND(M49&gt;50,M49&lt;=500),M49*1%,IF(AND(M49&gt;1,M49&lt;=50),M49*1.5%))))</f>
        <v>35.435000000000002</v>
      </c>
      <c r="M65" s="24">
        <f t="shared" ca="1" si="1"/>
        <v>35.4</v>
      </c>
      <c r="N65" s="138" t="s">
        <v>2249</v>
      </c>
      <c r="Z65" s="2418"/>
      <c r="AI65" s="2419"/>
    </row>
    <row r="66" spans="1:35" ht="14.25" customHeight="1">
      <c r="A66" s="203" t="s">
        <v>772</v>
      </c>
      <c r="B66" s="204" t="s">
        <v>2252</v>
      </c>
      <c r="C66" s="205"/>
      <c r="D66" s="206" t="s">
        <v>32</v>
      </c>
      <c r="E66" s="1771" t="s">
        <v>1371</v>
      </c>
      <c r="F66" s="2484"/>
      <c r="G66" s="2484"/>
      <c r="H66" s="2492"/>
      <c r="I66" s="138"/>
      <c r="J66" s="3153"/>
      <c r="K66" s="2494" t="s">
        <v>2253</v>
      </c>
      <c r="L66" s="1747">
        <f ca="1">M49*0.5%</f>
        <v>177.17500000000001</v>
      </c>
      <c r="M66" s="24">
        <f ca="1">IF(L66&gt;0.5,0.5,ROUND(L66,0))</f>
        <v>0.5</v>
      </c>
      <c r="N66" s="138" t="s">
        <v>2254</v>
      </c>
      <c r="Z66" s="2418"/>
      <c r="AI66" s="2419"/>
    </row>
    <row r="67" spans="1:35" ht="14.25" customHeight="1">
      <c r="A67" s="203" t="s">
        <v>773</v>
      </c>
      <c r="B67" s="204" t="s">
        <v>2255</v>
      </c>
      <c r="C67" s="207">
        <f ca="1">C63-C66</f>
        <v>33748</v>
      </c>
      <c r="D67" s="200" t="s">
        <v>32</v>
      </c>
      <c r="E67" s="201"/>
      <c r="F67" s="2484"/>
      <c r="G67" s="2484"/>
      <c r="H67" s="2492"/>
      <c r="I67" s="138"/>
      <c r="J67" s="3153"/>
      <c r="K67" s="2494" t="s">
        <v>2256</v>
      </c>
      <c r="L67" s="1747">
        <f ca="1">IF(M49&gt;=10000,(8.25+(M49-10000)*0.01%),IF(AND(M49&gt;=8000,M49&lt;10000),(7.85+(M49-8000)*0.02%),IF(AND(M49&gt;=5000,M49&lt;8000),(6.65+(M49-5000)*0.04%),IF(AND(M49&gt;=2000,M49&lt;5000),(4.25+(PM49-2000)*0.08%),IF(AND(M49&gt;=1000,M49&lt;2000),(2.75+(M49-1000)*0.15%),IF(AND(M49&gt;=100,M49&lt;1000),(0.5+(M49-100)*0.25%),IF(AND(M49&gt;0,M49&lt;100),M49*0.5%)))))))</f>
        <v>10.7935</v>
      </c>
      <c r="M67" s="24">
        <f ca="1">ROUND(L67*0.9,1)</f>
        <v>9.6999999999999993</v>
      </c>
      <c r="Z67" s="2418"/>
      <c r="AI67" s="2419"/>
    </row>
    <row r="68" spans="1:35" ht="14.25" customHeight="1" thickBot="1">
      <c r="A68" s="208" t="s">
        <v>774</v>
      </c>
      <c r="B68" s="209" t="s">
        <v>2257</v>
      </c>
      <c r="C68" s="210">
        <f ca="1">IF(C67&lt;=0,0,ROUND(C67*D68,0))</f>
        <v>1890</v>
      </c>
      <c r="D68" s="211">
        <f>'数据-取费表'!B41</f>
        <v>5.6000000000000001E-2</v>
      </c>
      <c r="E68" s="212"/>
      <c r="F68" s="2484"/>
      <c r="G68" s="2484"/>
      <c r="H68" s="2492"/>
      <c r="I68" s="138"/>
      <c r="J68" s="3153"/>
      <c r="K68" s="2494" t="s">
        <v>2258</v>
      </c>
      <c r="L68" s="1747">
        <f ca="1">IF(M49&gt;10000,M49*0.5%,IF(AND(M49&gt;5000,M49&lt;=10000),M49*1%,IF(AND(M49&gt;1000,M49&lt;=5000),M49*2%,IF(AND(M49&gt;200,M49&lt;=1000),M49*3%,M49*5%))))</f>
        <v>177.17500000000001</v>
      </c>
      <c r="M68" s="24">
        <f ca="1">ROUND(L68,1)</f>
        <v>177.2</v>
      </c>
      <c r="Z68" s="2418"/>
      <c r="AI68" s="2419"/>
    </row>
    <row r="69" spans="1:35" s="2441" customFormat="1" ht="16.5" customHeight="1">
      <c r="A69" s="2495"/>
      <c r="B69" s="2496"/>
      <c r="C69" s="2497"/>
      <c r="D69" s="2498"/>
      <c r="E69" s="2499"/>
      <c r="F69" s="2161"/>
      <c r="G69" s="2161"/>
      <c r="H69" s="2160"/>
      <c r="I69" s="2413"/>
      <c r="J69" s="3153"/>
      <c r="K69" s="2494" t="s">
        <v>2259</v>
      </c>
      <c r="L69" s="2500"/>
      <c r="M69" s="24">
        <f ca="1">ROUND(SUM(M63:M68),0)</f>
        <v>577</v>
      </c>
      <c r="N69" s="1748">
        <f ca="1">M69/M49</f>
        <v>1.6283335685057146E-2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4.4" thickBot="1">
      <c r="A70" s="3112" t="s">
        <v>2260</v>
      </c>
      <c r="B70" s="3113"/>
      <c r="C70" s="3113"/>
      <c r="D70" s="3113"/>
      <c r="E70" s="3113"/>
      <c r="F70" s="3113"/>
      <c r="G70" s="3113"/>
      <c r="H70" s="311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091" t="s">
        <v>2241</v>
      </c>
      <c r="B71" s="3092"/>
      <c r="C71" s="1799"/>
      <c r="D71" s="1799" t="s">
        <v>2242</v>
      </c>
      <c r="E71" s="213" t="s">
        <v>2243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775</v>
      </c>
      <c r="B72" s="204" t="s">
        <v>2261</v>
      </c>
      <c r="C72" s="207">
        <f ca="1">ROUND(D45/(1+'数据-取费表'!C42),0)</f>
        <v>33748</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772</v>
      </c>
      <c r="B73" s="173" t="s">
        <v>2262</v>
      </c>
      <c r="C73" s="207">
        <f ca="1">C74+C78</f>
        <v>202</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2263</v>
      </c>
      <c r="C74" s="200">
        <f>ROUND(IF(G77="2016年5月1日后购买",C75/(1+'数据-取费表'!C42)+C76+C77,C75+C76+C77),0)</f>
        <v>0</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776</v>
      </c>
      <c r="B75" s="198" t="s">
        <v>2264</v>
      </c>
      <c r="C75" s="218"/>
      <c r="D75" s="200" t="s">
        <v>32</v>
      </c>
      <c r="E75" s="219" t="s">
        <v>2265</v>
      </c>
      <c r="F75" s="2506" t="s">
        <v>2266</v>
      </c>
      <c r="G75" s="219" t="s">
        <v>2267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2268</v>
      </c>
      <c r="C76" s="200">
        <f>IF(F75="购房发票",ROUND(C75*H75*D76,0),0)</f>
        <v>0</v>
      </c>
      <c r="D76" s="222">
        <v>0.05</v>
      </c>
      <c r="E76" s="3086" t="s">
        <v>2269</v>
      </c>
      <c r="F76" s="3063"/>
      <c r="G76" s="3063"/>
      <c r="H76" s="311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8" t="s">
        <v>2272</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2273</v>
      </c>
      <c r="C78" s="225">
        <f ca="1">ROUND(D45*D78/(1+'数据-取费表'!C42),0)</f>
        <v>202</v>
      </c>
      <c r="D78" s="226">
        <f>'数据-取费表'!B43</f>
        <v>6.000000000000001E-3</v>
      </c>
      <c r="E78" s="3072" t="s">
        <v>2274</v>
      </c>
      <c r="F78" s="3073"/>
      <c r="G78" s="3073"/>
      <c r="H78" s="308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4" t="s">
        <v>2275</v>
      </c>
      <c r="C79" s="207">
        <f ca="1">C72-C73</f>
        <v>33546</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2276</v>
      </c>
      <c r="C80" s="227">
        <f ca="1">IF(C79&lt;=0,0,C79/C73)</f>
        <v>166.06930693069307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9" t="s">
        <v>2277</v>
      </c>
      <c r="C81" s="228">
        <f ca="1">ROUND(IF(C79&lt;=0,0,IF(C80&gt;=200%,C79*60%-C73*35%,IF(C80&gt;=100%,C79*50%-C73*15%,IF(C80&gt;=50%,C79*40%-C73*5%,IF(C80&lt;50%,C79*30%,0))))),0)</f>
        <v>20057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12" t="s">
        <v>2278</v>
      </c>
      <c r="B83" s="3113"/>
      <c r="C83" s="3113"/>
      <c r="D83" s="3113"/>
      <c r="E83" s="3113"/>
      <c r="F83" s="3113"/>
      <c r="G83" s="3113"/>
      <c r="H83" s="311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091" t="s">
        <v>2241</v>
      </c>
      <c r="B84" s="3092"/>
      <c r="C84" s="1799"/>
      <c r="D84" s="1799" t="s">
        <v>2242</v>
      </c>
      <c r="E84" s="213" t="s">
        <v>2243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775</v>
      </c>
      <c r="B85" s="204" t="s">
        <v>2261</v>
      </c>
      <c r="C85" s="207">
        <f ca="1">ROUND(D45/(1+'数据-取费表'!C42),0)</f>
        <v>33748</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772</v>
      </c>
      <c r="B86" s="173" t="s">
        <v>2262</v>
      </c>
      <c r="C86" s="207">
        <f ca="1">IF(H88="仅含出让金",C87+C90+C91+C92+C93+C94,C87+C91+C92+C93+C94)</f>
        <v>202</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770</v>
      </c>
      <c r="B87" s="198" t="s">
        <v>2279</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776</v>
      </c>
      <c r="B88" s="198" t="s">
        <v>2280</v>
      </c>
      <c r="C88" s="236"/>
      <c r="D88" s="226"/>
      <c r="E88" s="237" t="s">
        <v>2281</v>
      </c>
      <c r="F88" s="1795"/>
      <c r="G88" s="238" t="s">
        <v>2282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777</v>
      </c>
      <c r="B89" s="198" t="s">
        <v>2270</v>
      </c>
      <c r="C89" s="225">
        <f>ROUND(C88*D89,0)</f>
        <v>0</v>
      </c>
      <c r="D89" s="226">
        <f>'数据-取费表'!B48+'数据-取费表'!B49</f>
        <v>3.0499999999999999E-2</v>
      </c>
      <c r="E89" s="237" t="s">
        <v>2283</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771</v>
      </c>
      <c r="B90" s="198" t="s">
        <v>2284</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2285</v>
      </c>
      <c r="B91" s="198" t="s">
        <v>2286</v>
      </c>
      <c r="C91" s="225">
        <f>IF(H91="——",成本法!C33,I91)</f>
        <v>0</v>
      </c>
      <c r="D91" s="226"/>
      <c r="E91" s="3072" t="s">
        <v>2287</v>
      </c>
      <c r="F91" s="3073"/>
      <c r="G91" s="3073"/>
      <c r="H91" s="2513" t="s">
        <v>2288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2289</v>
      </c>
      <c r="B92" s="198" t="s">
        <v>2290</v>
      </c>
      <c r="C92" s="225">
        <f>ROUND((C87+C90+C91)*D92,0)</f>
        <v>0</v>
      </c>
      <c r="D92" s="226">
        <v>0.1</v>
      </c>
      <c r="E92" s="3072" t="s">
        <v>2291</v>
      </c>
      <c r="F92" s="3073"/>
      <c r="G92" s="3073"/>
      <c r="H92" s="308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2292</v>
      </c>
      <c r="B93" s="198" t="s">
        <v>2273</v>
      </c>
      <c r="C93" s="225">
        <f ca="1">ROUND(D45*D93/(1+'数据-取费表'!C42),0)</f>
        <v>202</v>
      </c>
      <c r="D93" s="226">
        <f>'数据-取费表'!B43</f>
        <v>6.000000000000001E-3</v>
      </c>
      <c r="E93" s="3072" t="s">
        <v>2274</v>
      </c>
      <c r="F93" s="3073"/>
      <c r="G93" s="3073"/>
      <c r="H93" s="308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2293</v>
      </c>
      <c r="B94" s="198" t="s">
        <v>2294</v>
      </c>
      <c r="C94" s="236">
        <f>ROUND((C87+C90+C91)*D94,0)</f>
        <v>0</v>
      </c>
      <c r="D94" s="226">
        <v>0.2</v>
      </c>
      <c r="E94" s="3083" t="s">
        <v>2295</v>
      </c>
      <c r="F94" s="3084"/>
      <c r="G94" s="3084"/>
      <c r="H94" s="308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4" t="s">
        <v>2275</v>
      </c>
      <c r="C95" s="207">
        <f ca="1">ROUND(C85-C86,0)</f>
        <v>33546</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2276</v>
      </c>
      <c r="C96" s="227">
        <f ca="1">IF(C95&lt;=0,0,C95/C86)</f>
        <v>166.06930693069307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9" t="s">
        <v>2277</v>
      </c>
      <c r="C97" s="228">
        <f ca="1">ROUND(IF(C95&lt;=0,0,IF(C96&gt;=200%,C95*60%-C86*35%,IF(C96&gt;=100%,C95*50%-C86*15%,IF(C96&gt;=50%,C95*40%-C86*5%,IF(C96&lt;50%,C95*30%,0))))),0)</f>
        <v>20057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2296</v>
      </c>
      <c r="B99" s="2413"/>
      <c r="C99" s="2413"/>
      <c r="D99" s="2413"/>
      <c r="E99" s="2161"/>
      <c r="F99" s="2161"/>
      <c r="G99" s="2161"/>
      <c r="H99" s="2160"/>
      <c r="I99" s="138"/>
    </row>
    <row r="100" spans="1:35" ht="18.75" customHeight="1">
      <c r="A100" s="3057" t="s">
        <v>2297</v>
      </c>
      <c r="B100" s="3058"/>
      <c r="C100" s="3058"/>
      <c r="D100" s="3074"/>
      <c r="E100" s="3058" t="s">
        <v>2298</v>
      </c>
      <c r="F100" s="3058"/>
      <c r="G100" s="3058"/>
      <c r="H100" s="3074"/>
      <c r="I100" s="138"/>
    </row>
    <row r="101" spans="1:35" ht="18.75" customHeight="1">
      <c r="A101" s="3136" t="s">
        <v>2299</v>
      </c>
      <c r="B101" s="3137"/>
      <c r="C101" s="736" t="str">
        <f>C4</f>
        <v>成本法</v>
      </c>
      <c r="D101" s="737" t="str">
        <f>D4</f>
        <v>假设开发法</v>
      </c>
      <c r="E101" s="3150" t="s">
        <v>2300</v>
      </c>
      <c r="F101" s="3104"/>
      <c r="G101" s="2515" t="s">
        <v>2301</v>
      </c>
      <c r="H101" s="1045">
        <f ca="1">H118</f>
        <v>35435</v>
      </c>
      <c r="I101" s="138"/>
    </row>
    <row r="102" spans="1:35" ht="18.75" customHeight="1">
      <c r="A102" s="3106" t="s">
        <v>2302</v>
      </c>
      <c r="B102" s="2515" t="s">
        <v>2301</v>
      </c>
      <c r="C102" s="736">
        <f ca="1">C19</f>
        <v>32493</v>
      </c>
      <c r="D102" s="737">
        <f ca="1">D19</f>
        <v>38377</v>
      </c>
      <c r="E102" s="3150"/>
      <c r="F102" s="3104"/>
      <c r="G102" s="2515" t="s">
        <v>2303</v>
      </c>
      <c r="H102" s="371">
        <f ca="1">I118</f>
        <v>7118</v>
      </c>
      <c r="I102" s="138"/>
    </row>
    <row r="103" spans="1:35" ht="42.75" customHeight="1">
      <c r="A103" s="3106"/>
      <c r="B103" s="2515" t="s">
        <v>2303</v>
      </c>
      <c r="C103" s="738">
        <f ca="1">C20</f>
        <v>6527</v>
      </c>
      <c r="D103" s="739">
        <f ca="1">D20</f>
        <v>7709</v>
      </c>
      <c r="E103" s="3145" t="s">
        <v>2304</v>
      </c>
      <c r="F103" s="3146"/>
      <c r="G103" s="2516" t="s">
        <v>2305</v>
      </c>
      <c r="H103" s="1045">
        <f>IF(D36="正常操作",H104+H105+H106,H105+H106)</f>
        <v>0</v>
      </c>
      <c r="I103" s="138"/>
    </row>
    <row r="104" spans="1:35" ht="18.75" customHeight="1">
      <c r="A104" s="3106" t="s">
        <v>2306</v>
      </c>
      <c r="B104" s="2517" t="s">
        <v>2301</v>
      </c>
      <c r="C104" s="740">
        <f ca="1">H118</f>
        <v>35435</v>
      </c>
      <c r="D104" s="741"/>
      <c r="E104" s="2261" t="s">
        <v>2307</v>
      </c>
      <c r="F104" s="2253"/>
      <c r="G104" s="2516" t="s">
        <v>2305</v>
      </c>
      <c r="H104" s="1046">
        <f>IF(D36="同一抵押权人同一抵押物续贷",C36&amp;"（未扣减，详见特别提示）",C36)</f>
        <v>0</v>
      </c>
      <c r="I104" s="138"/>
    </row>
    <row r="105" spans="1:35" ht="18.75" customHeight="1" thickBot="1">
      <c r="A105" s="3107"/>
      <c r="B105" s="2518" t="s">
        <v>2303</v>
      </c>
      <c r="C105" s="742">
        <f ca="1">I118</f>
        <v>7118</v>
      </c>
      <c r="D105" s="743"/>
      <c r="E105" s="2261" t="s">
        <v>2308</v>
      </c>
      <c r="F105" s="2253"/>
      <c r="G105" s="2516" t="s">
        <v>2305</v>
      </c>
      <c r="H105" s="1046">
        <f>C37</f>
        <v>0</v>
      </c>
      <c r="I105" s="138"/>
    </row>
    <row r="106" spans="1:35" ht="18.75" customHeight="1">
      <c r="A106" s="2413" t="s">
        <v>2309</v>
      </c>
      <c r="B106" s="2413"/>
      <c r="C106" s="2413"/>
      <c r="D106" s="2413"/>
      <c r="E106" s="2519" t="s">
        <v>2310</v>
      </c>
      <c r="F106" s="2253"/>
      <c r="G106" s="2516" t="s">
        <v>2305</v>
      </c>
      <c r="H106" s="1046">
        <f>C38</f>
        <v>0</v>
      </c>
      <c r="I106" s="138"/>
    </row>
    <row r="107" spans="1:35" ht="18.75" customHeight="1">
      <c r="A107" s="138"/>
      <c r="B107" s="138"/>
      <c r="C107" s="138"/>
      <c r="D107" s="138"/>
      <c r="E107" s="3103" t="str">
        <f>IF(项目基本情况!E8="已注销","——","3.房地产抵押价值")</f>
        <v>3.房地产抵押价值</v>
      </c>
      <c r="F107" s="3104"/>
      <c r="G107" s="2515" t="s">
        <v>2301</v>
      </c>
      <c r="H107" s="1045">
        <f ca="1">IF(E107="——","——",H101-H103)</f>
        <v>35435</v>
      </c>
      <c r="I107" s="138"/>
    </row>
    <row r="108" spans="1:35" ht="18.75" customHeight="1">
      <c r="A108" s="138"/>
      <c r="B108" s="138"/>
      <c r="C108" s="138"/>
      <c r="D108" s="138"/>
      <c r="E108" s="3103"/>
      <c r="F108" s="3104"/>
      <c r="G108" s="2515" t="s">
        <v>2303</v>
      </c>
      <c r="H108" s="371">
        <f ca="1">ROUND(H107*10000/'数据-汇总表'!E3,0)</f>
        <v>7118</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5" t="s">
        <v>2301</v>
      </c>
      <c r="H109" s="348" t="str">
        <f>IF(E109="——","——",H101-H105-H106)</f>
        <v>——</v>
      </c>
      <c r="I109" s="138"/>
    </row>
    <row r="110" spans="1:35" ht="18.75" customHeight="1">
      <c r="A110" s="138"/>
      <c r="B110" s="138"/>
      <c r="C110" s="138"/>
      <c r="D110" s="138"/>
      <c r="E110" s="3103"/>
      <c r="F110" s="3104"/>
      <c r="G110" s="2515" t="s">
        <v>2303</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5" t="s">
        <v>2301</v>
      </c>
      <c r="H111" s="1045" t="str">
        <f>IF(E111="——","——",N59)</f>
        <v>——</v>
      </c>
      <c r="I111" s="138"/>
    </row>
    <row r="112" spans="1:35" ht="18.75" customHeight="1" thickBot="1">
      <c r="A112" s="138"/>
      <c r="B112" s="138"/>
      <c r="C112" s="138"/>
      <c r="D112" s="138"/>
      <c r="E112" s="3140"/>
      <c r="F112" s="3141"/>
      <c r="G112" s="2520" t="s">
        <v>2303</v>
      </c>
      <c r="H112" s="790" t="str">
        <f>IF(E111="——","——",N61)</f>
        <v>——</v>
      </c>
      <c r="I112" s="138"/>
    </row>
    <row r="113" spans="1:11" ht="18.75" customHeight="1">
      <c r="A113" s="138"/>
      <c r="B113" s="138"/>
      <c r="C113" s="138"/>
      <c r="D113" s="138"/>
      <c r="E113" s="3108" t="s">
        <v>2309</v>
      </c>
      <c r="F113" s="3108"/>
      <c r="G113" s="3108"/>
      <c r="H113" s="3108"/>
      <c r="I113" s="138"/>
    </row>
    <row r="114" spans="1:11" ht="3.75" customHeight="1">
      <c r="A114" s="2413"/>
      <c r="B114" s="2413"/>
      <c r="C114" s="2413"/>
      <c r="D114" s="2413"/>
      <c r="E114" s="2491"/>
      <c r="F114" s="2491"/>
      <c r="G114" s="2491"/>
      <c r="H114" s="2491"/>
      <c r="I114" s="2413"/>
    </row>
    <row r="115" spans="1:11" ht="18.75" customHeight="1">
      <c r="A115" s="3121" t="s">
        <v>2311</v>
      </c>
      <c r="B115" s="3122"/>
      <c r="C115" s="3122"/>
      <c r="D115" s="3122"/>
      <c r="E115" s="3122"/>
      <c r="F115" s="3122"/>
      <c r="G115" s="3122"/>
      <c r="H115" s="3122"/>
      <c r="I115" s="3123"/>
    </row>
    <row r="116" spans="1:11" ht="27" customHeight="1">
      <c r="A116" s="3014" t="s">
        <v>2312</v>
      </c>
      <c r="B116" s="3109" t="s">
        <v>2313</v>
      </c>
      <c r="C116" s="3109" t="s">
        <v>2314</v>
      </c>
      <c r="D116" s="3125" t="s">
        <v>2315</v>
      </c>
      <c r="E116" s="3126"/>
      <c r="F116" s="3117" t="s">
        <v>2316</v>
      </c>
      <c r="G116" s="3117"/>
      <c r="H116" s="3014" t="s">
        <v>2317</v>
      </c>
      <c r="I116" s="3014"/>
    </row>
    <row r="117" spans="1:11" ht="18.75" customHeight="1">
      <c r="A117" s="3014"/>
      <c r="B117" s="3110"/>
      <c r="C117" s="3110"/>
      <c r="D117" s="1793" t="s">
        <v>2318</v>
      </c>
      <c r="E117" s="1793" t="s">
        <v>2319</v>
      </c>
      <c r="F117" s="1793" t="s">
        <v>2318</v>
      </c>
      <c r="G117" s="1793" t="s">
        <v>2320</v>
      </c>
      <c r="H117" s="1793" t="s">
        <v>2318</v>
      </c>
      <c r="I117" s="1793" t="s">
        <v>2320</v>
      </c>
    </row>
    <row r="118" spans="1:11" ht="24.75" customHeight="1">
      <c r="A118" s="2521" t="str">
        <f>项目基本情况!S2</f>
        <v>广西自治区叠彩区站前路以北、春江路以东、漓江以西出让国有建设用地使用权及在建建筑物房地产</v>
      </c>
      <c r="B118" s="1793">
        <f>M18</f>
        <v>49782.53</v>
      </c>
      <c r="C118" s="1793">
        <f>M19</f>
        <v>28191.57</v>
      </c>
      <c r="D118" s="1793">
        <f ca="1">ROUND(IF(D32="总价",C34,E118*B118/10000),0)</f>
        <v>15414</v>
      </c>
      <c r="E118" s="1793">
        <f ca="1">ROUND(IF(C33="自定义",IF(D32="楼面单价",C34,D118*10000/B118),I118-G118),0)</f>
        <v>3096</v>
      </c>
      <c r="F118" s="1793">
        <f ca="1">ROUND(IF(D32="总价",C35,G118*B118/10000),0)</f>
        <v>20021</v>
      </c>
      <c r="G118" s="1793">
        <f ca="1">ROUND(IF(D32="楼面单价",C35,F118*10000/B118),0)</f>
        <v>4022</v>
      </c>
      <c r="H118" s="1793">
        <f ca="1">ROUND(IF(D32="总价",C32,I118*B118/10000),0)</f>
        <v>35435</v>
      </c>
      <c r="I118" s="1793">
        <f ca="1">ROUND(IF(D32="楼面单价",C32,H118*10000/B118),0)</f>
        <v>7118</v>
      </c>
      <c r="J118" s="795">
        <f ca="1">D118/C118*666.67</f>
        <v>364.50794971688345</v>
      </c>
    </row>
    <row r="119" spans="1:11" ht="18.75" customHeight="1">
      <c r="A119" s="3014" t="s">
        <v>2321</v>
      </c>
      <c r="B119" s="3014"/>
      <c r="C119" s="3014"/>
      <c r="D119" s="3114" t="str">
        <f ca="1">NUMBERSTRING(INT(D118*10000),2)&amp;"元整"</f>
        <v>壹亿伍仟肆佰壹拾肆万元整</v>
      </c>
      <c r="E119" s="3116"/>
      <c r="F119" s="3114" t="str">
        <f ca="1">NUMBERSTRING(INT(F118*10000),2)&amp;"元整"</f>
        <v>贰亿零贰拾壹万元整</v>
      </c>
      <c r="G119" s="3116"/>
      <c r="H119" s="3114" t="str">
        <f ca="1">NUMBERSTRING(INT(H118*10000),2)&amp;"元整"</f>
        <v>叁亿伍仟肆佰叁拾伍万元整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18" t="str">
        <f>IF(D120=0,"故，本次评估不存在"&amp;A120,"故，本次评估"&amp;A120&amp;"为人民币"&amp;D120&amp;"万元整。")</f>
        <v>故，本次评估不存在估价师知悉的法定优先受偿款</v>
      </c>
    </row>
    <row r="121" spans="1:11" ht="18.75" customHeight="1">
      <c r="A121" s="3118" t="s">
        <v>2321</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35435</v>
      </c>
      <c r="E122" s="3143"/>
      <c r="F122" s="3143"/>
      <c r="G122" s="3143"/>
      <c r="H122" s="3143"/>
      <c r="I122" s="3144"/>
    </row>
    <row r="123" spans="1:11" ht="18.75" customHeight="1">
      <c r="A123" s="3014" t="s">
        <v>2321</v>
      </c>
      <c r="B123" s="3014"/>
      <c r="C123" s="3014"/>
      <c r="D123" s="3114" t="str">
        <f ca="1">NUMBERSTRING(INT(D122*10000),2)&amp;"元整"</f>
        <v>叁亿伍仟肆佰叁拾伍万元整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2321</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2321</v>
      </c>
      <c r="B127" s="3014"/>
      <c r="C127" s="3014"/>
      <c r="D127" s="3114" t="e">
        <f>NUMBERSTRING(INT(D126*10000),2)&amp;"元整"</f>
        <v>#VALUE!</v>
      </c>
      <c r="E127" s="3115"/>
      <c r="F127" s="3115"/>
      <c r="G127" s="3115"/>
      <c r="H127" s="3115"/>
      <c r="I127" s="3116"/>
    </row>
    <row r="128" spans="1:11" ht="21.75" customHeight="1">
      <c r="A128" s="3124" t="s">
        <v>2322</v>
      </c>
      <c r="B128" s="3124"/>
      <c r="C128" s="3124"/>
      <c r="D128" s="3124"/>
      <c r="E128" s="3124"/>
      <c r="F128" s="3124"/>
      <c r="G128" s="3124"/>
      <c r="H128" s="3124"/>
      <c r="I128" s="3124"/>
    </row>
    <row r="129" spans="1:35" ht="21.75" customHeight="1">
      <c r="A129" s="2522" t="s">
        <v>2323</v>
      </c>
      <c r="B129" s="2523"/>
      <c r="C129" s="2524" t="s">
        <v>2324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2325</v>
      </c>
      <c r="G135" s="2539"/>
      <c r="H135" s="2539"/>
      <c r="I135" s="2540" t="s">
        <v>2326</v>
      </c>
    </row>
    <row r="136" spans="1:35" ht="21.75" customHeight="1">
      <c r="A136" s="795"/>
      <c r="B136" s="2541"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2328</v>
      </c>
    </row>
    <row r="139" spans="1:35" ht="21.75" customHeight="1">
      <c r="A139" s="795"/>
      <c r="B139" s="2541" t="s">
        <v>2329</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2328</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31" zoomScale="85" zoomScaleNormal="85" workbookViewId="0">
      <selection activeCell="I46" sqref="I46:I47"/>
    </sheetView>
  </sheetViews>
  <sheetFormatPr defaultColWidth="9" defaultRowHeight="13.8"/>
  <cols>
    <col min="1" max="1" width="14.33203125" style="403" customWidth="1"/>
    <col min="2" max="2" width="15.77734375" style="403" customWidth="1"/>
    <col min="3" max="3" width="16" style="403" customWidth="1"/>
    <col min="4" max="4" width="14.109375" style="403" customWidth="1"/>
    <col min="5" max="5" width="16.6640625" style="403" customWidth="1"/>
    <col min="6" max="6" width="12.21875" style="403" customWidth="1"/>
    <col min="7" max="7" width="15.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9822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1973</v>
      </c>
      <c r="C3" s="247" t="s">
        <v>2747</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2646</v>
      </c>
      <c r="B4" s="402"/>
      <c r="C4" s="3160" t="s">
        <v>2647</v>
      </c>
      <c r="D4" s="3173"/>
      <c r="E4" s="3174" t="s">
        <v>2648</v>
      </c>
      <c r="F4" s="3175"/>
      <c r="G4" s="3160" t="s">
        <v>2649</v>
      </c>
      <c r="H4" s="3173"/>
      <c r="I4" s="3160" t="s">
        <v>2650</v>
      </c>
      <c r="J4" s="3173"/>
      <c r="K4" s="610" t="s">
        <v>2651</v>
      </c>
      <c r="L4" s="1130"/>
      <c r="M4" s="1131"/>
      <c r="N4" s="1131"/>
      <c r="O4" s="1131"/>
      <c r="P4" s="3176" t="s">
        <v>2652</v>
      </c>
      <c r="Q4" s="3177"/>
      <c r="R4" s="3182" t="s">
        <v>2648</v>
      </c>
      <c r="S4" s="3183"/>
      <c r="T4" s="3182" t="s">
        <v>2649</v>
      </c>
      <c r="U4" s="3183"/>
      <c r="V4" s="3169" t="s">
        <v>2650</v>
      </c>
      <c r="W4" s="3169"/>
      <c r="X4" s="1811"/>
      <c r="Y4" s="3182" t="s">
        <v>2652</v>
      </c>
      <c r="Z4" s="3183"/>
      <c r="AA4" s="3170" t="s">
        <v>2648</v>
      </c>
      <c r="AB4" s="3171" t="s">
        <v>2649</v>
      </c>
      <c r="AC4" s="3170" t="s">
        <v>2650</v>
      </c>
    </row>
    <row r="5" spans="1:30">
      <c r="A5" s="404"/>
      <c r="B5" s="405"/>
      <c r="C5" s="3195" t="str">
        <f>项目基本情况!F10</f>
        <v>叠彩区站前路以北、春江路以东、漓江以西</v>
      </c>
      <c r="D5" s="3191"/>
      <c r="E5" s="3199" t="str">
        <f>案例!A4</f>
        <v>七星区三联村委小村和屏风村委彭家岭、黄莺岩</v>
      </c>
      <c r="F5" s="3200"/>
      <c r="G5" s="3190" t="str">
        <f>案例!A5</f>
        <v>东安街以北,红岭路以西</v>
      </c>
      <c r="H5" s="3191"/>
      <c r="I5" s="3190" t="str">
        <f>案例!A7</f>
        <v>杉景路以北、三元路以西</v>
      </c>
      <c r="J5" s="3191"/>
      <c r="K5" s="610"/>
      <c r="L5" s="1130"/>
      <c r="M5" s="1131"/>
      <c r="N5" s="1131"/>
      <c r="O5" s="1131"/>
      <c r="P5" s="3178"/>
      <c r="Q5" s="3179"/>
      <c r="R5" s="3184"/>
      <c r="S5" s="3185"/>
      <c r="T5" s="3184"/>
      <c r="U5" s="3185"/>
      <c r="V5" s="3169"/>
      <c r="W5" s="3169"/>
      <c r="X5" s="1811"/>
      <c r="Y5" s="3184"/>
      <c r="Z5" s="3185"/>
      <c r="AA5" s="3171"/>
      <c r="AB5" s="3171"/>
      <c r="AC5" s="3171"/>
    </row>
    <row r="6" spans="1:30" ht="15" thickBot="1">
      <c r="A6" s="406"/>
      <c r="B6" s="407"/>
      <c r="C6" s="3196" t="s">
        <v>3070</v>
      </c>
      <c r="D6" s="3189"/>
      <c r="E6" s="3197" t="str">
        <f>案例!D4</f>
        <v>七星区</v>
      </c>
      <c r="F6" s="3198"/>
      <c r="G6" s="3188" t="str">
        <f>案例!D5</f>
        <v>象山区</v>
      </c>
      <c r="H6" s="3189"/>
      <c r="I6" s="3188" t="str">
        <f>案例!D7</f>
        <v>临桂县</v>
      </c>
      <c r="J6" s="3189"/>
      <c r="K6" s="610" t="s">
        <v>2548</v>
      </c>
      <c r="L6" s="1130"/>
      <c r="M6" s="1131"/>
      <c r="N6" s="1131"/>
      <c r="O6" s="1131"/>
      <c r="P6" s="3180"/>
      <c r="Q6" s="3181"/>
      <c r="R6" s="3184"/>
      <c r="S6" s="3185"/>
      <c r="T6" s="3186"/>
      <c r="U6" s="3187"/>
      <c r="V6" s="3169"/>
      <c r="W6" s="3169"/>
      <c r="X6" s="1811"/>
      <c r="Y6" s="3186"/>
      <c r="Z6" s="3187"/>
      <c r="AA6" s="3172"/>
      <c r="AB6" s="3172"/>
      <c r="AC6" s="3172"/>
    </row>
    <row r="7" spans="1:30" s="117" customFormat="1" ht="15" thickBot="1">
      <c r="A7" s="408" t="s">
        <v>2549</v>
      </c>
      <c r="B7" s="409"/>
      <c r="C7" s="410">
        <f>'数据-取费表'!B2</f>
        <v>43342</v>
      </c>
      <c r="D7" s="411">
        <v>100</v>
      </c>
      <c r="E7" s="412" t="str">
        <f>案例!AA4</f>
        <v>2018-04-03</v>
      </c>
      <c r="F7" s="413">
        <f>SUMIF(70:70,YEAR(E7)&amp;"-"&amp;INT((MONTH(E7)+2)/3),71:71)</f>
        <v>98.5</v>
      </c>
      <c r="G7" s="2690" t="str">
        <f>案例!AA5</f>
        <v>2018-02-12</v>
      </c>
      <c r="H7" s="411">
        <f>SUMIF(70:70,YEAR(G7)&amp;"-"&amp;INT((MONTH(G7)+2)/3),71:71)</f>
        <v>97</v>
      </c>
      <c r="I7" s="2690" t="str">
        <f>案例!AA7</f>
        <v>2018-01-09</v>
      </c>
      <c r="J7" s="411">
        <f>SUMIF(70:70,YEAR(I7)&amp;"-"&amp;INT((MONTH(I7)+2)/3),71:71)</f>
        <v>97</v>
      </c>
      <c r="K7" s="611"/>
      <c r="L7" s="1132"/>
      <c r="M7" s="1133"/>
      <c r="N7" s="1133"/>
      <c r="O7" s="1133"/>
      <c r="P7" s="3192" t="s">
        <v>2550</v>
      </c>
      <c r="Q7" s="3194"/>
      <c r="R7" s="770" t="s">
        <v>17</v>
      </c>
      <c r="S7" s="771">
        <f t="shared" ref="S7:S15" si="0">F7</f>
        <v>98.5</v>
      </c>
      <c r="T7" s="770" t="s">
        <v>17</v>
      </c>
      <c r="U7" s="771">
        <f t="shared" ref="U7:U15" si="1">H7</f>
        <v>97</v>
      </c>
      <c r="V7" s="770" t="s">
        <v>17</v>
      </c>
      <c r="W7" s="771">
        <f t="shared" ref="W7:W15" si="2">J7</f>
        <v>97</v>
      </c>
      <c r="X7" s="772"/>
      <c r="Y7" s="3192" t="s">
        <v>2550</v>
      </c>
      <c r="Z7" s="3193"/>
      <c r="AA7" s="773">
        <f>D7/F7</f>
        <v>1.015228426395939</v>
      </c>
      <c r="AB7" s="773">
        <f>D7/H7</f>
        <v>1.0309278350515463</v>
      </c>
      <c r="AC7" s="773">
        <f>D7/J7</f>
        <v>1.0309278350515463</v>
      </c>
    </row>
    <row r="8" spans="1:30" s="117" customFormat="1" ht="1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92" t="s">
        <v>2553</v>
      </c>
      <c r="Q8" s="3193"/>
      <c r="R8" s="770" t="s">
        <v>17</v>
      </c>
      <c r="S8" s="771">
        <f t="shared" si="0"/>
        <v>100</v>
      </c>
      <c r="T8" s="770" t="s">
        <v>17</v>
      </c>
      <c r="U8" s="771">
        <f t="shared" si="1"/>
        <v>100</v>
      </c>
      <c r="V8" s="770" t="s">
        <v>17</v>
      </c>
      <c r="W8" s="771">
        <f t="shared" si="2"/>
        <v>100</v>
      </c>
      <c r="X8" s="772"/>
      <c r="Y8" s="3192" t="s">
        <v>2553</v>
      </c>
      <c r="Z8" s="3193"/>
      <c r="AA8" s="773">
        <f t="shared" ref="AA8:AA45" si="3">D8/F8</f>
        <v>1</v>
      </c>
      <c r="AB8" s="773">
        <f t="shared" ref="AB8:AB45" si="4">D8/H8</f>
        <v>1</v>
      </c>
      <c r="AC8" s="773">
        <f t="shared" ref="AC8:AC45" si="5">D8/J8</f>
        <v>1</v>
      </c>
    </row>
    <row r="9" spans="1:30" s="117" customFormat="1" ht="27" customHeight="1">
      <c r="A9" s="415" t="s">
        <v>2554</v>
      </c>
      <c r="B9" s="71" t="s">
        <v>2555</v>
      </c>
      <c r="C9" s="2693" t="s">
        <v>1378</v>
      </c>
      <c r="D9" s="135">
        <v>100</v>
      </c>
      <c r="E9" s="2693" t="s">
        <v>1378</v>
      </c>
      <c r="F9" s="135">
        <f>SUMIF(75:75,E9,76:76)-SUMIF(75:75,C9,76:76)+100</f>
        <v>100</v>
      </c>
      <c r="G9" s="2693" t="s">
        <v>1378</v>
      </c>
      <c r="H9" s="135">
        <f>SUMIF(75:75,G9,76:76)-SUMIF(75:75,C9,76:76)+100</f>
        <v>100</v>
      </c>
      <c r="I9" s="2693" t="s">
        <v>1378</v>
      </c>
      <c r="J9" s="135">
        <f>SUMIF(75:75,I9,76:76)-SUMIF(75:75,C9,76:76)+100</f>
        <v>100</v>
      </c>
      <c r="K9" s="611"/>
      <c r="L9" s="1132"/>
      <c r="M9" s="1133"/>
      <c r="N9" s="1133"/>
      <c r="O9" s="1134"/>
      <c r="P9" s="3163" t="s">
        <v>2556</v>
      </c>
      <c r="Q9" s="1793"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30" s="427" customFormat="1" ht="28.8">
      <c r="A10" s="421"/>
      <c r="B10" s="422" t="s">
        <v>2558</v>
      </c>
      <c r="C10" s="432" t="s">
        <v>3370</v>
      </c>
      <c r="D10" s="136">
        <v>100</v>
      </c>
      <c r="E10" s="465" t="s">
        <v>3371</v>
      </c>
      <c r="F10" s="136">
        <f>ROUND(100/'数据-取费表'!G16,0)</f>
        <v>101</v>
      </c>
      <c r="G10" s="463" t="s">
        <v>3371</v>
      </c>
      <c r="H10" s="136">
        <f>ROUND(100/'数据-取费表'!G16,0)</f>
        <v>101</v>
      </c>
      <c r="I10" s="463" t="s">
        <v>3371</v>
      </c>
      <c r="J10" s="136">
        <f>ROUND(100/'数据-取费表'!G16,0)</f>
        <v>101</v>
      </c>
      <c r="K10" s="672"/>
      <c r="L10" s="1135"/>
      <c r="M10" s="1136"/>
      <c r="N10" s="1136"/>
      <c r="O10" s="1137"/>
      <c r="P10" s="3163"/>
      <c r="Q10" s="1793" t="str">
        <f t="shared" si="6"/>
        <v>土地使用年限（年）</v>
      </c>
      <c r="R10" s="770" t="s">
        <v>17</v>
      </c>
      <c r="S10" s="771">
        <f t="shared" si="0"/>
        <v>101</v>
      </c>
      <c r="T10" s="770" t="s">
        <v>17</v>
      </c>
      <c r="U10" s="771">
        <f t="shared" si="1"/>
        <v>101</v>
      </c>
      <c r="V10" s="770" t="s">
        <v>17</v>
      </c>
      <c r="W10" s="771">
        <f t="shared" si="2"/>
        <v>101</v>
      </c>
      <c r="X10" s="772"/>
      <c r="Y10" s="3014"/>
      <c r="Z10" s="55" t="str">
        <f t="shared" si="7"/>
        <v>土地使用年限（年）</v>
      </c>
      <c r="AA10" s="773">
        <f t="shared" si="3"/>
        <v>0.99009900990099009</v>
      </c>
      <c r="AB10" s="773">
        <f t="shared" si="4"/>
        <v>0.99009900990099009</v>
      </c>
      <c r="AC10" s="773">
        <f t="shared" si="5"/>
        <v>0.99009900990099009</v>
      </c>
    </row>
    <row r="11" spans="1:30" ht="15">
      <c r="A11" s="428"/>
      <c r="B11" s="422" t="s">
        <v>2559</v>
      </c>
      <c r="C11" s="429">
        <f>'数据-汇总表'!I6</f>
        <v>1.77</v>
      </c>
      <c r="D11" s="136">
        <v>100</v>
      </c>
      <c r="E11" s="429">
        <v>2</v>
      </c>
      <c r="F11" s="136">
        <f>LOOKUP(E11,80:80,81:81)-LOOKUP(C11,80:80,81:81)+100</f>
        <v>97</v>
      </c>
      <c r="G11" s="430">
        <v>2.84</v>
      </c>
      <c r="H11" s="136">
        <f>LOOKUP(G11,80:80,81:81)-LOOKUP(C11,80:80,81:81)+100</f>
        <v>97</v>
      </c>
      <c r="I11" s="429">
        <v>2.5</v>
      </c>
      <c r="J11" s="136">
        <f>LOOKUP(I11,80:80,81:81)-LOOKUP(C11,80:80,81:81)+100</f>
        <v>97</v>
      </c>
      <c r="K11" s="673">
        <v>3</v>
      </c>
      <c r="L11" s="1138"/>
      <c r="M11" s="1131"/>
      <c r="N11" s="1131"/>
      <c r="O11" s="1139"/>
      <c r="P11" s="3163"/>
      <c r="Q11" s="1793" t="str">
        <f t="shared" si="6"/>
        <v>容积率</v>
      </c>
      <c r="R11" s="770" t="s">
        <v>17</v>
      </c>
      <c r="S11" s="771">
        <f t="shared" si="0"/>
        <v>97</v>
      </c>
      <c r="T11" s="770" t="s">
        <v>17</v>
      </c>
      <c r="U11" s="771">
        <f t="shared" si="1"/>
        <v>97</v>
      </c>
      <c r="V11" s="770" t="s">
        <v>17</v>
      </c>
      <c r="W11" s="771">
        <f t="shared" si="2"/>
        <v>97</v>
      </c>
      <c r="X11" s="772"/>
      <c r="Y11" s="3014"/>
      <c r="Z11" s="55" t="str">
        <f t="shared" si="7"/>
        <v>容积率</v>
      </c>
      <c r="AA11" s="773">
        <f t="shared" si="3"/>
        <v>1.0309278350515463</v>
      </c>
      <c r="AB11" s="773">
        <f t="shared" si="4"/>
        <v>1.0309278350515463</v>
      </c>
      <c r="AC11" s="773">
        <f t="shared" si="5"/>
        <v>1.0309278350515463</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3"/>
      <c r="Q12" s="1793"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3"/>
      <c r="Q13" s="1793">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3"/>
      <c r="Q14" s="1793">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6.6">
      <c r="A15" s="440" t="s">
        <v>2560</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95</v>
      </c>
      <c r="G15" s="442"/>
      <c r="H15" s="441">
        <f>SUMIF(88:88,G16,89:89)-SUMIF(88:88,C16,89:89)+100</f>
        <v>100</v>
      </c>
      <c r="I15" s="444"/>
      <c r="J15" s="441">
        <f>SUMIF(88:88,I16,89:89)-SUMIF(88:88,C16,89:89)+100</f>
        <v>95</v>
      </c>
      <c r="K15" s="673">
        <v>5</v>
      </c>
      <c r="L15" s="1140"/>
      <c r="M15" s="1131"/>
      <c r="N15" s="1131"/>
      <c r="O15" s="1139"/>
      <c r="P15" s="3165" t="s">
        <v>2561</v>
      </c>
      <c r="Q15" s="1808" t="str">
        <f t="shared" si="6"/>
        <v>居住社区成熟度</v>
      </c>
      <c r="R15" s="774" t="s">
        <v>17</v>
      </c>
      <c r="S15" s="775">
        <f t="shared" si="0"/>
        <v>95</v>
      </c>
      <c r="T15" s="774" t="s">
        <v>17</v>
      </c>
      <c r="U15" s="775">
        <f t="shared" si="1"/>
        <v>100</v>
      </c>
      <c r="V15" s="774" t="s">
        <v>17</v>
      </c>
      <c r="W15" s="775">
        <f t="shared" si="2"/>
        <v>95</v>
      </c>
      <c r="X15" s="1811"/>
      <c r="Y15" s="3165" t="s">
        <v>2561</v>
      </c>
      <c r="Z15" s="1812" t="str">
        <f t="shared" si="7"/>
        <v>居住社区成熟度</v>
      </c>
      <c r="AA15" s="1809">
        <f t="shared" si="3"/>
        <v>1.0526315789473684</v>
      </c>
      <c r="AB15" s="1809">
        <f t="shared" si="4"/>
        <v>1</v>
      </c>
      <c r="AC15" s="1809">
        <f t="shared" si="5"/>
        <v>1.0526315789473684</v>
      </c>
    </row>
    <row r="16" spans="1:30" ht="15">
      <c r="A16" s="428"/>
      <c r="B16" s="446"/>
      <c r="C16" s="447" t="s">
        <v>3372</v>
      </c>
      <c r="D16" s="448"/>
      <c r="E16" s="447" t="s">
        <v>3373</v>
      </c>
      <c r="F16" s="448"/>
      <c r="G16" s="447" t="s">
        <v>3372</v>
      </c>
      <c r="H16" s="450"/>
      <c r="I16" s="447" t="s">
        <v>3373</v>
      </c>
      <c r="J16" s="448"/>
      <c r="K16" s="672"/>
      <c r="L16" s="1140"/>
      <c r="M16" s="1131"/>
      <c r="N16" s="1131"/>
      <c r="O16" s="1139"/>
      <c r="P16" s="3166"/>
      <c r="Q16" s="1808"/>
      <c r="R16" s="774"/>
      <c r="S16" s="775"/>
      <c r="T16" s="774"/>
      <c r="U16" s="775"/>
      <c r="V16" s="774"/>
      <c r="W16" s="775"/>
      <c r="X16" s="1811"/>
      <c r="Y16" s="3166"/>
      <c r="Z16" s="1812"/>
      <c r="AA16" s="1809">
        <v>1</v>
      </c>
      <c r="AB16" s="1809">
        <v>1</v>
      </c>
      <c r="AC16" s="1809">
        <v>1</v>
      </c>
    </row>
    <row r="17" spans="1:29" ht="69">
      <c r="A17" s="428"/>
      <c r="B17" s="451" t="s">
        <v>2654</v>
      </c>
      <c r="C17" s="2658" t="str">
        <f>估价对象房地状况!C16</f>
        <v>估价对象位于XX商圈，周边商业氛围成熟，人流量大，商业繁华度好</v>
      </c>
      <c r="D17" s="450">
        <v>100</v>
      </c>
      <c r="E17" s="452"/>
      <c r="F17" s="450">
        <f>SUMIF(90:90,E18,91:91)-SUMIF(90:90,C18,91:91)+100</f>
        <v>98</v>
      </c>
      <c r="G17" s="452"/>
      <c r="H17" s="455">
        <f>SUMIF(90:90,G18,91:91)-SUMIF(90:90,C18,91:91)+100</f>
        <v>100</v>
      </c>
      <c r="I17" s="454"/>
      <c r="J17" s="455">
        <f>SUMIF(90:90,I18,91:91)-SUMIF(90:90,C18,91:91)+100</f>
        <v>98</v>
      </c>
      <c r="K17" s="673">
        <v>2</v>
      </c>
      <c r="L17" s="1140"/>
      <c r="M17" s="1131"/>
      <c r="N17" s="1131"/>
      <c r="O17" s="1139"/>
      <c r="P17" s="3166"/>
      <c r="Q17" s="1808" t="str">
        <f>B17</f>
        <v>商业繁华度</v>
      </c>
      <c r="R17" s="774" t="s">
        <v>17</v>
      </c>
      <c r="S17" s="775">
        <f>F17</f>
        <v>98</v>
      </c>
      <c r="T17" s="774" t="s">
        <v>17</v>
      </c>
      <c r="U17" s="775">
        <f>H17</f>
        <v>100</v>
      </c>
      <c r="V17" s="774" t="s">
        <v>17</v>
      </c>
      <c r="W17" s="775">
        <f>J17</f>
        <v>98</v>
      </c>
      <c r="X17" s="1811"/>
      <c r="Y17" s="3166"/>
      <c r="Z17" s="1812" t="str">
        <f>Q17</f>
        <v>商业繁华度</v>
      </c>
      <c r="AA17" s="1809">
        <f t="shared" si="3"/>
        <v>1.0204081632653061</v>
      </c>
      <c r="AB17" s="1809">
        <f t="shared" si="4"/>
        <v>1</v>
      </c>
      <c r="AC17" s="1809">
        <f t="shared" si="5"/>
        <v>1.0204081632653061</v>
      </c>
    </row>
    <row r="18" spans="1:29" ht="15">
      <c r="A18" s="428"/>
      <c r="B18" s="456"/>
      <c r="C18" s="2604" t="s">
        <v>3372</v>
      </c>
      <c r="D18" s="450"/>
      <c r="E18" s="2604" t="s">
        <v>3373</v>
      </c>
      <c r="F18" s="450"/>
      <c r="G18" s="2604" t="s">
        <v>3372</v>
      </c>
      <c r="H18" s="448"/>
      <c r="I18" s="2604" t="s">
        <v>3373</v>
      </c>
      <c r="J18" s="448"/>
      <c r="K18" s="672"/>
      <c r="L18" s="1140"/>
      <c r="M18" s="1131"/>
      <c r="N18" s="1131"/>
      <c r="O18" s="1139"/>
      <c r="P18" s="3166"/>
      <c r="Q18" s="1808"/>
      <c r="R18" s="774"/>
      <c r="S18" s="775"/>
      <c r="T18" s="774"/>
      <c r="U18" s="775"/>
      <c r="V18" s="774"/>
      <c r="W18" s="775"/>
      <c r="X18" s="1811"/>
      <c r="Y18" s="3166"/>
      <c r="Z18" s="1812"/>
      <c r="AA18" s="1809">
        <v>1</v>
      </c>
      <c r="AB18" s="1809">
        <v>1</v>
      </c>
      <c r="AC18" s="1809">
        <v>1</v>
      </c>
    </row>
    <row r="19" spans="1:29" ht="69">
      <c r="A19" s="428"/>
      <c r="B19" s="451" t="s">
        <v>2688</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6"/>
      <c r="Q19" s="1808" t="str">
        <f>B19</f>
        <v>办公集聚程度</v>
      </c>
      <c r="R19" s="774" t="s">
        <v>17</v>
      </c>
      <c r="S19" s="775">
        <f>F19</f>
        <v>100</v>
      </c>
      <c r="T19" s="774" t="s">
        <v>17</v>
      </c>
      <c r="U19" s="775">
        <f>H19</f>
        <v>100</v>
      </c>
      <c r="V19" s="774" t="s">
        <v>17</v>
      </c>
      <c r="W19" s="775">
        <f>J19</f>
        <v>100</v>
      </c>
      <c r="X19" s="1811"/>
      <c r="Y19" s="3166"/>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40"/>
      <c r="M20" s="1131"/>
      <c r="N20" s="1131"/>
      <c r="O20" s="1139"/>
      <c r="P20" s="3166"/>
      <c r="Q20" s="1808"/>
      <c r="R20" s="774"/>
      <c r="S20" s="775"/>
      <c r="T20" s="774"/>
      <c r="U20" s="775"/>
      <c r="V20" s="774"/>
      <c r="W20" s="775"/>
      <c r="X20" s="1811"/>
      <c r="Y20" s="3166"/>
      <c r="Z20" s="1812"/>
      <c r="AA20" s="1809">
        <v>1</v>
      </c>
      <c r="AB20" s="1809">
        <v>1</v>
      </c>
      <c r="AC20" s="1809">
        <v>1</v>
      </c>
    </row>
    <row r="21" spans="1:29" ht="82.8">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66"/>
      <c r="Q21" s="1808" t="str">
        <f>B21</f>
        <v>交通便捷度</v>
      </c>
      <c r="R21" s="774" t="s">
        <v>17</v>
      </c>
      <c r="S21" s="775">
        <f>F21</f>
        <v>100</v>
      </c>
      <c r="T21" s="774" t="s">
        <v>17</v>
      </c>
      <c r="U21" s="775">
        <f>H21</f>
        <v>100</v>
      </c>
      <c r="V21" s="774" t="s">
        <v>17</v>
      </c>
      <c r="W21" s="775">
        <f>J21</f>
        <v>100</v>
      </c>
      <c r="X21" s="1811"/>
      <c r="Y21" s="3166"/>
      <c r="Z21" s="1812" t="str">
        <f>Q21</f>
        <v>交通便捷度</v>
      </c>
      <c r="AA21" s="1809">
        <f t="shared" si="3"/>
        <v>1</v>
      </c>
      <c r="AB21" s="1809">
        <f t="shared" si="4"/>
        <v>1</v>
      </c>
      <c r="AC21" s="1809">
        <f t="shared" si="5"/>
        <v>1</v>
      </c>
    </row>
    <row r="22" spans="1:29" ht="15">
      <c r="A22" s="428"/>
      <c r="B22" s="1384"/>
      <c r="C22" s="447" t="s">
        <v>3372</v>
      </c>
      <c r="D22" s="450"/>
      <c r="E22" s="447" t="s">
        <v>3372</v>
      </c>
      <c r="F22" s="448"/>
      <c r="G22" s="447" t="s">
        <v>3372</v>
      </c>
      <c r="H22" s="448"/>
      <c r="I22" s="447" t="s">
        <v>3372</v>
      </c>
      <c r="J22" s="448"/>
      <c r="K22" s="672"/>
      <c r="L22" s="1140"/>
      <c r="M22" s="1131"/>
      <c r="N22" s="1131"/>
      <c r="O22" s="1139"/>
      <c r="P22" s="3166"/>
      <c r="Q22" s="1808"/>
      <c r="R22" s="774"/>
      <c r="S22" s="775"/>
      <c r="T22" s="774"/>
      <c r="U22" s="775"/>
      <c r="V22" s="774"/>
      <c r="W22" s="775"/>
      <c r="X22" s="1811"/>
      <c r="Y22" s="3166"/>
      <c r="Z22" s="1812"/>
      <c r="AA22" s="1809">
        <v>1</v>
      </c>
      <c r="AB22" s="1809">
        <v>1</v>
      </c>
      <c r="AC22" s="1809">
        <v>1</v>
      </c>
    </row>
    <row r="23" spans="1:29" ht="28.8">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166"/>
      <c r="Q23" s="1808" t="str">
        <f t="shared" ref="Q23:Q37" si="8">B23</f>
        <v>区域土地利用方向</v>
      </c>
      <c r="R23" s="774" t="s">
        <v>17</v>
      </c>
      <c r="S23" s="775">
        <f>F23</f>
        <v>100</v>
      </c>
      <c r="T23" s="774" t="s">
        <v>17</v>
      </c>
      <c r="U23" s="775">
        <f>H23</f>
        <v>100</v>
      </c>
      <c r="V23" s="774" t="s">
        <v>17</v>
      </c>
      <c r="W23" s="775">
        <f>J23</f>
        <v>100</v>
      </c>
      <c r="X23" s="1811"/>
      <c r="Y23" s="3166"/>
      <c r="Z23" s="1812" t="str">
        <f>Q23</f>
        <v>区域土地利用方向</v>
      </c>
      <c r="AA23" s="1809">
        <f t="shared" si="3"/>
        <v>1</v>
      </c>
      <c r="AB23" s="1809">
        <f t="shared" si="4"/>
        <v>1</v>
      </c>
      <c r="AC23" s="1809">
        <f t="shared" si="5"/>
        <v>1</v>
      </c>
    </row>
    <row r="24" spans="1:29" ht="15">
      <c r="A24" s="404"/>
      <c r="B24" s="456"/>
      <c r="C24" s="616" t="s">
        <v>3372</v>
      </c>
      <c r="D24" s="448"/>
      <c r="E24" s="616" t="s">
        <v>3372</v>
      </c>
      <c r="F24" s="448"/>
      <c r="G24" s="616" t="s">
        <v>3372</v>
      </c>
      <c r="H24" s="448"/>
      <c r="I24" s="616" t="s">
        <v>3372</v>
      </c>
      <c r="J24" s="448"/>
      <c r="K24" s="809"/>
      <c r="L24" s="1140"/>
      <c r="M24" s="1131"/>
      <c r="N24" s="1131"/>
      <c r="O24" s="1139"/>
      <c r="P24" s="3166"/>
      <c r="Q24" s="1808"/>
      <c r="R24" s="774"/>
      <c r="S24" s="775"/>
      <c r="T24" s="774"/>
      <c r="U24" s="775"/>
      <c r="V24" s="774"/>
      <c r="W24" s="775"/>
      <c r="X24" s="1811"/>
      <c r="Y24" s="3166"/>
      <c r="Z24" s="1812"/>
      <c r="AA24" s="1809"/>
      <c r="AB24" s="1809"/>
      <c r="AC24" s="1809"/>
    </row>
    <row r="25" spans="1:29" ht="55.2">
      <c r="A25" s="404"/>
      <c r="B25" s="1384" t="s">
        <v>2750</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66"/>
      <c r="Q25" s="1808" t="str">
        <f t="shared" si="8"/>
        <v>自然及人文环境状况</v>
      </c>
      <c r="R25" s="774" t="s">
        <v>17</v>
      </c>
      <c r="S25" s="775">
        <f>F25</f>
        <v>100</v>
      </c>
      <c r="T25" s="774" t="s">
        <v>17</v>
      </c>
      <c r="U25" s="775">
        <f>H25</f>
        <v>100</v>
      </c>
      <c r="V25" s="774" t="s">
        <v>17</v>
      </c>
      <c r="W25" s="775">
        <f>J25</f>
        <v>100</v>
      </c>
      <c r="X25" s="1811"/>
      <c r="Y25" s="3166"/>
      <c r="Z25" s="1812" t="str">
        <f>Q25</f>
        <v>自然及人文环境状况</v>
      </c>
      <c r="AA25" s="1809">
        <f t="shared" si="3"/>
        <v>1</v>
      </c>
      <c r="AB25" s="1809">
        <f t="shared" si="4"/>
        <v>1</v>
      </c>
      <c r="AC25" s="1809">
        <f t="shared" si="5"/>
        <v>1</v>
      </c>
    </row>
    <row r="26" spans="1:29" ht="15">
      <c r="A26" s="404"/>
      <c r="B26" s="456"/>
      <c r="C26" s="447" t="s">
        <v>3373</v>
      </c>
      <c r="D26" s="448"/>
      <c r="E26" s="447" t="s">
        <v>3373</v>
      </c>
      <c r="F26" s="448"/>
      <c r="G26" s="447" t="s">
        <v>3373</v>
      </c>
      <c r="H26" s="448"/>
      <c r="I26" s="447" t="s">
        <v>3373</v>
      </c>
      <c r="J26" s="448"/>
      <c r="K26" s="672"/>
      <c r="L26" s="1140"/>
      <c r="M26" s="1131"/>
      <c r="N26" s="1131"/>
      <c r="O26" s="1139"/>
      <c r="P26" s="3166"/>
      <c r="Q26" s="1808"/>
      <c r="R26" s="774"/>
      <c r="S26" s="775"/>
      <c r="T26" s="774"/>
      <c r="U26" s="775"/>
      <c r="V26" s="774"/>
      <c r="W26" s="775"/>
      <c r="X26" s="1811"/>
      <c r="Y26" s="3166"/>
      <c r="Z26" s="1812"/>
      <c r="AA26" s="1809">
        <v>1</v>
      </c>
      <c r="AB26" s="1809">
        <v>1</v>
      </c>
      <c r="AC26" s="1809">
        <v>1</v>
      </c>
    </row>
    <row r="27" spans="1:29" s="117" customFormat="1" ht="41.4">
      <c r="A27" s="649"/>
      <c r="B27" s="1384" t="s">
        <v>2655</v>
      </c>
      <c r="C27" s="2603"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100</v>
      </c>
      <c r="K27" s="673">
        <v>2</v>
      </c>
      <c r="L27" s="1132"/>
      <c r="M27" s="1133"/>
      <c r="N27" s="1133"/>
      <c r="O27" s="1134"/>
      <c r="P27" s="3166"/>
      <c r="Q27" s="1793" t="str">
        <f t="shared" si="8"/>
        <v>公共配套设施</v>
      </c>
      <c r="R27" s="770" t="s">
        <v>17</v>
      </c>
      <c r="S27" s="771">
        <f>F27</f>
        <v>102</v>
      </c>
      <c r="T27" s="770" t="s">
        <v>17</v>
      </c>
      <c r="U27" s="771">
        <f>H27</f>
        <v>102</v>
      </c>
      <c r="V27" s="770" t="s">
        <v>17</v>
      </c>
      <c r="W27" s="771">
        <f>J27</f>
        <v>100</v>
      </c>
      <c r="X27" s="772"/>
      <c r="Y27" s="3166"/>
      <c r="Z27" s="55" t="str">
        <f>Q27</f>
        <v>公共配套设施</v>
      </c>
      <c r="AA27" s="1809">
        <f>D27/F27</f>
        <v>0.98039215686274506</v>
      </c>
      <c r="AB27" s="1809">
        <f>D27/H27</f>
        <v>0.98039215686274506</v>
      </c>
      <c r="AC27" s="1809">
        <f>D27/J27</f>
        <v>1</v>
      </c>
    </row>
    <row r="28" spans="1:29" s="117" customFormat="1" ht="15">
      <c r="A28" s="649"/>
      <c r="B28" s="456"/>
      <c r="C28" s="2694" t="s">
        <v>3373</v>
      </c>
      <c r="D28" s="448"/>
      <c r="E28" s="2694" t="s">
        <v>3372</v>
      </c>
      <c r="F28" s="448"/>
      <c r="G28" s="2694" t="s">
        <v>3372</v>
      </c>
      <c r="H28" s="448"/>
      <c r="I28" s="2694" t="s">
        <v>3373</v>
      </c>
      <c r="J28" s="448"/>
      <c r="K28" s="672"/>
      <c r="L28" s="1132"/>
      <c r="M28" s="1133"/>
      <c r="N28" s="1133"/>
      <c r="O28" s="1134"/>
      <c r="P28" s="3166"/>
      <c r="Q28" s="1793"/>
      <c r="R28" s="770"/>
      <c r="S28" s="771"/>
      <c r="T28" s="770"/>
      <c r="U28" s="771"/>
      <c r="V28" s="770"/>
      <c r="W28" s="771"/>
      <c r="X28" s="772"/>
      <c r="Y28" s="3166"/>
      <c r="Z28" s="55"/>
      <c r="AA28" s="1809">
        <v>1</v>
      </c>
      <c r="AB28" s="1809">
        <v>1</v>
      </c>
      <c r="AC28" s="1809">
        <v>1</v>
      </c>
    </row>
    <row r="29" spans="1:29" s="117" customFormat="1" ht="27.6">
      <c r="A29" s="649"/>
      <c r="B29" s="1384"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66"/>
      <c r="Q29" s="1793" t="str">
        <f t="shared" ref="Q29" si="9">B29</f>
        <v>基础设施水平</v>
      </c>
      <c r="R29" s="770" t="s">
        <v>17</v>
      </c>
      <c r="S29" s="771">
        <f>F29</f>
        <v>100</v>
      </c>
      <c r="T29" s="770" t="s">
        <v>17</v>
      </c>
      <c r="U29" s="771">
        <f>H29</f>
        <v>100</v>
      </c>
      <c r="V29" s="770" t="s">
        <v>17</v>
      </c>
      <c r="W29" s="771">
        <f>J29</f>
        <v>100</v>
      </c>
      <c r="X29" s="772"/>
      <c r="Y29" s="3166"/>
      <c r="Z29" s="55" t="str">
        <f>Q29</f>
        <v>基础设施水平</v>
      </c>
      <c r="AA29" s="1809">
        <f>D29/F29</f>
        <v>1</v>
      </c>
      <c r="AB29" s="1809">
        <f>D29/H29</f>
        <v>1</v>
      </c>
      <c r="AC29" s="1809">
        <f>D29/J29</f>
        <v>1</v>
      </c>
    </row>
    <row r="30" spans="1:29" s="117" customFormat="1" ht="15">
      <c r="A30" s="649"/>
      <c r="B30" s="456"/>
      <c r="C30" s="2694" t="s">
        <v>3374</v>
      </c>
      <c r="D30" s="448"/>
      <c r="E30" s="2694" t="s">
        <v>3374</v>
      </c>
      <c r="F30" s="448"/>
      <c r="G30" s="2694" t="s">
        <v>3374</v>
      </c>
      <c r="H30" s="448"/>
      <c r="I30" s="2694" t="s">
        <v>3374</v>
      </c>
      <c r="J30" s="448"/>
      <c r="K30" s="672"/>
      <c r="L30" s="1132"/>
      <c r="M30" s="1133"/>
      <c r="N30" s="1133"/>
      <c r="O30" s="1134"/>
      <c r="P30" s="3166"/>
      <c r="Q30" s="1793"/>
      <c r="R30" s="770"/>
      <c r="S30" s="771"/>
      <c r="T30" s="770"/>
      <c r="U30" s="771"/>
      <c r="V30" s="770"/>
      <c r="W30" s="771"/>
      <c r="X30" s="772"/>
      <c r="Y30" s="3166"/>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6"/>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66"/>
      <c r="Z31" s="1812" t="str">
        <f t="shared" ref="Z31:Z45" si="13">Q31</f>
        <v>临街状况</v>
      </c>
      <c r="AA31" s="1809">
        <f t="shared" si="3"/>
        <v>1</v>
      </c>
      <c r="AB31" s="1809">
        <f t="shared" si="4"/>
        <v>1</v>
      </c>
      <c r="AC31" s="1809">
        <f t="shared" si="5"/>
        <v>1</v>
      </c>
    </row>
    <row r="32" spans="1:29" ht="28.8">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6"/>
      <c r="Q32" s="1808" t="str">
        <f t="shared" si="8"/>
        <v>毗邻道路的类型与等级</v>
      </c>
      <c r="R32" s="774" t="s">
        <v>17</v>
      </c>
      <c r="S32" s="775">
        <f t="shared" si="10"/>
        <v>100</v>
      </c>
      <c r="T32" s="774" t="s">
        <v>17</v>
      </c>
      <c r="U32" s="775">
        <f t="shared" si="11"/>
        <v>100</v>
      </c>
      <c r="V32" s="774" t="s">
        <v>17</v>
      </c>
      <c r="W32" s="775">
        <f t="shared" si="12"/>
        <v>100</v>
      </c>
      <c r="X32" s="1811"/>
      <c r="Y32" s="3166"/>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40"/>
      <c r="M33" s="1131"/>
      <c r="N33" s="1131"/>
      <c r="O33" s="1139"/>
      <c r="P33" s="3166"/>
      <c r="Q33" s="1808"/>
      <c r="R33" s="774"/>
      <c r="S33" s="775"/>
      <c r="T33" s="774"/>
      <c r="U33" s="775"/>
      <c r="V33" s="774"/>
      <c r="W33" s="775"/>
      <c r="X33" s="1811"/>
      <c r="Y33" s="3166"/>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6"/>
      <c r="Q34" s="1808" t="str">
        <f t="shared" si="8"/>
        <v>土地级别</v>
      </c>
      <c r="R34" s="774" t="s">
        <v>17</v>
      </c>
      <c r="S34" s="775">
        <f t="shared" si="10"/>
        <v>100</v>
      </c>
      <c r="T34" s="774" t="s">
        <v>17</v>
      </c>
      <c r="U34" s="775">
        <f t="shared" si="11"/>
        <v>100</v>
      </c>
      <c r="V34" s="774" t="s">
        <v>17</v>
      </c>
      <c r="W34" s="775">
        <f t="shared" si="12"/>
        <v>100</v>
      </c>
      <c r="X34" s="1811"/>
      <c r="Y34" s="3166"/>
      <c r="Z34" s="1812" t="str">
        <f t="shared" si="13"/>
        <v>土地级别</v>
      </c>
      <c r="AA34" s="1809">
        <f t="shared" si="3"/>
        <v>1</v>
      </c>
      <c r="AB34" s="1809">
        <f t="shared" si="4"/>
        <v>1</v>
      </c>
      <c r="AC34" s="1809">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6"/>
      <c r="Q35" s="1808">
        <f t="shared" si="8"/>
        <v>111</v>
      </c>
      <c r="R35" s="774" t="s">
        <v>17</v>
      </c>
      <c r="S35" s="775">
        <f t="shared" si="10"/>
        <v>100</v>
      </c>
      <c r="T35" s="774" t="s">
        <v>17</v>
      </c>
      <c r="U35" s="775">
        <f t="shared" si="11"/>
        <v>100</v>
      </c>
      <c r="V35" s="774" t="s">
        <v>17</v>
      </c>
      <c r="W35" s="775">
        <f t="shared" si="12"/>
        <v>100</v>
      </c>
      <c r="X35" s="1811"/>
      <c r="Y35" s="3166"/>
      <c r="Z35" s="1812">
        <f t="shared" si="13"/>
        <v>111</v>
      </c>
      <c r="AA35" s="1809">
        <f t="shared" si="3"/>
        <v>1</v>
      </c>
      <c r="AB35" s="1809">
        <f t="shared" si="4"/>
        <v>1</v>
      </c>
      <c r="AC35" s="1809">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7" t="s">
        <v>2566</v>
      </c>
      <c r="Q36" s="1808">
        <f t="shared" si="8"/>
        <v>111</v>
      </c>
      <c r="R36" s="774" t="s">
        <v>17</v>
      </c>
      <c r="S36" s="775">
        <f t="shared" si="10"/>
        <v>100</v>
      </c>
      <c r="T36" s="774" t="s">
        <v>17</v>
      </c>
      <c r="U36" s="775">
        <f t="shared" si="11"/>
        <v>100</v>
      </c>
      <c r="V36" s="774" t="s">
        <v>17</v>
      </c>
      <c r="W36" s="775">
        <f t="shared" si="12"/>
        <v>100</v>
      </c>
      <c r="X36" s="1811"/>
      <c r="Y36" s="3168" t="s">
        <v>2566</v>
      </c>
      <c r="Z36" s="1812">
        <f t="shared" si="13"/>
        <v>111</v>
      </c>
      <c r="AA36" s="1809">
        <f t="shared" si="3"/>
        <v>1</v>
      </c>
      <c r="AB36" s="1809">
        <f t="shared" si="4"/>
        <v>1</v>
      </c>
      <c r="AC36" s="1809">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8"/>
      <c r="Q37" s="1808">
        <f t="shared" si="8"/>
        <v>111</v>
      </c>
      <c r="R37" s="777" t="s">
        <v>17</v>
      </c>
      <c r="S37" s="778">
        <f t="shared" si="10"/>
        <v>100</v>
      </c>
      <c r="T37" s="777" t="s">
        <v>17</v>
      </c>
      <c r="U37" s="778">
        <f t="shared" si="11"/>
        <v>100</v>
      </c>
      <c r="V37" s="777" t="s">
        <v>17</v>
      </c>
      <c r="W37" s="778">
        <f t="shared" si="12"/>
        <v>100</v>
      </c>
      <c r="X37" s="779"/>
      <c r="Y37" s="3168"/>
      <c r="Z37" s="780">
        <f t="shared" si="13"/>
        <v>111</v>
      </c>
      <c r="AA37" s="1809">
        <f t="shared" si="3"/>
        <v>1</v>
      </c>
      <c r="AB37" s="1809">
        <f t="shared" si="4"/>
        <v>1</v>
      </c>
      <c r="AC37" s="1809">
        <f t="shared" si="5"/>
        <v>1</v>
      </c>
    </row>
    <row r="38" spans="1:29" ht="15.6">
      <c r="A38" s="472" t="s">
        <v>2564</v>
      </c>
      <c r="B38" s="456" t="s">
        <v>2752</v>
      </c>
      <c r="C38" s="679">
        <f>案例!J34</f>
        <v>67304.399999999994</v>
      </c>
      <c r="D38" s="467">
        <v>100</v>
      </c>
      <c r="E38" s="679">
        <f>案例!J4</f>
        <v>113848</v>
      </c>
      <c r="F38" s="467">
        <f>LOOKUP(E38,117:117,118:118)-LOOKUP(C38,117:117,118:118)+100</f>
        <v>102</v>
      </c>
      <c r="G38" s="679">
        <f>案例!J5</f>
        <v>6426.53</v>
      </c>
      <c r="H38" s="467">
        <f>LOOKUP(G38,117:117,118:118)-LOOKUP(C38,117:117,118:118)+100</f>
        <v>98</v>
      </c>
      <c r="I38" s="530">
        <f>案例!J7</f>
        <v>55562.34</v>
      </c>
      <c r="J38" s="467">
        <f>LOOKUP(I38,117:117,118:118)-LOOKUP(C38,117:117,118:118)+100</f>
        <v>100</v>
      </c>
      <c r="K38" s="613"/>
      <c r="L38" s="1140"/>
      <c r="M38" s="1131"/>
      <c r="N38" s="1131"/>
      <c r="O38" s="1139"/>
      <c r="P38" s="3168"/>
      <c r="Q38" s="1808" t="str">
        <f>B38</f>
        <v>宗地面积</v>
      </c>
      <c r="R38" s="774" t="s">
        <v>17</v>
      </c>
      <c r="S38" s="775">
        <f t="shared" si="10"/>
        <v>102</v>
      </c>
      <c r="T38" s="774" t="s">
        <v>17</v>
      </c>
      <c r="U38" s="775">
        <f t="shared" si="11"/>
        <v>98</v>
      </c>
      <c r="V38" s="774" t="s">
        <v>17</v>
      </c>
      <c r="W38" s="775">
        <f t="shared" si="12"/>
        <v>100</v>
      </c>
      <c r="X38" s="1811"/>
      <c r="Y38" s="3168"/>
      <c r="Z38" s="1812" t="str">
        <f t="shared" si="13"/>
        <v>宗地面积</v>
      </c>
      <c r="AA38" s="1809">
        <f t="shared" si="3"/>
        <v>0.98039215686274506</v>
      </c>
      <c r="AB38" s="1809">
        <f t="shared" si="4"/>
        <v>1.0204081632653061</v>
      </c>
      <c r="AC38" s="1809">
        <f t="shared" si="5"/>
        <v>1</v>
      </c>
    </row>
    <row r="39" spans="1:29" ht="15">
      <c r="A39" s="472"/>
      <c r="B39" s="422" t="s">
        <v>2753</v>
      </c>
      <c r="C39" s="2609" t="s">
        <v>3376</v>
      </c>
      <c r="D39" s="435">
        <v>100</v>
      </c>
      <c r="E39" s="2609" t="s">
        <v>3376</v>
      </c>
      <c r="F39" s="435">
        <f>SUMIF(119:119,E39,120:120)-SUMIF(119:119,C39,120:120)+100</f>
        <v>100</v>
      </c>
      <c r="G39" s="2609" t="s">
        <v>3376</v>
      </c>
      <c r="H39" s="435">
        <f>SUMIF(119:119,G39,120:120)-SUMIF(119:119,C39,120:120)+100</f>
        <v>100</v>
      </c>
      <c r="I39" s="2609" t="s">
        <v>3376</v>
      </c>
      <c r="J39" s="435">
        <f>SUMIF(119:119,I39,120:120)-SUMIF(119:119,C39,120:120)+100</f>
        <v>100</v>
      </c>
      <c r="K39" s="612">
        <v>1</v>
      </c>
      <c r="L39" s="1140"/>
      <c r="M39" s="1131"/>
      <c r="N39" s="1131"/>
      <c r="O39" s="1139"/>
      <c r="P39" s="3168"/>
      <c r="Q39" s="1808" t="str">
        <f t="shared" ref="Q39:Q45" si="14">B39</f>
        <v>宗地形状</v>
      </c>
      <c r="R39" s="774" t="s">
        <v>17</v>
      </c>
      <c r="S39" s="775">
        <f t="shared" si="10"/>
        <v>100</v>
      </c>
      <c r="T39" s="774" t="s">
        <v>17</v>
      </c>
      <c r="U39" s="775">
        <f t="shared" si="11"/>
        <v>100</v>
      </c>
      <c r="V39" s="774" t="s">
        <v>17</v>
      </c>
      <c r="W39" s="775">
        <f t="shared" si="12"/>
        <v>100</v>
      </c>
      <c r="X39" s="1811"/>
      <c r="Y39" s="3168"/>
      <c r="Z39" s="1812" t="str">
        <f t="shared" si="13"/>
        <v>宗地形状</v>
      </c>
      <c r="AA39" s="1809">
        <f t="shared" si="3"/>
        <v>1</v>
      </c>
      <c r="AB39" s="1809">
        <f t="shared" si="4"/>
        <v>1</v>
      </c>
      <c r="AC39" s="1809">
        <f t="shared" si="5"/>
        <v>1</v>
      </c>
    </row>
    <row r="40" spans="1:29" ht="15">
      <c r="A40" s="472"/>
      <c r="B40" s="422" t="s">
        <v>2754</v>
      </c>
      <c r="C40" s="2609" t="s">
        <v>3380</v>
      </c>
      <c r="D40" s="435">
        <v>100</v>
      </c>
      <c r="E40" s="2609" t="s">
        <v>3380</v>
      </c>
      <c r="F40" s="435">
        <f>SUMIF(121:121,E40,122:122)-SUMIF(121:121,C40,122:122)+100</f>
        <v>100</v>
      </c>
      <c r="G40" s="2609" t="s">
        <v>3380</v>
      </c>
      <c r="H40" s="435">
        <f>SUMIF(121:121,G40,122:122)-SUMIF(121:121,C40,122:122)+100</f>
        <v>100</v>
      </c>
      <c r="I40" s="2609" t="s">
        <v>3380</v>
      </c>
      <c r="J40" s="435">
        <f>SUMIF(121:121,I40,122:122)-SUMIF(121:121,C40,122:122)+100</f>
        <v>100</v>
      </c>
      <c r="K40" s="612">
        <v>1</v>
      </c>
      <c r="L40" s="1140"/>
      <c r="M40" s="1131"/>
      <c r="N40" s="1131"/>
      <c r="O40" s="1139"/>
      <c r="P40" s="3168"/>
      <c r="Q40" s="1808" t="str">
        <f t="shared" si="14"/>
        <v>临街宽度及深度</v>
      </c>
      <c r="R40" s="774" t="s">
        <v>17</v>
      </c>
      <c r="S40" s="775">
        <f t="shared" si="10"/>
        <v>100</v>
      </c>
      <c r="T40" s="774" t="s">
        <v>17</v>
      </c>
      <c r="U40" s="775">
        <f t="shared" si="11"/>
        <v>100</v>
      </c>
      <c r="V40" s="774" t="s">
        <v>17</v>
      </c>
      <c r="W40" s="775">
        <f t="shared" si="12"/>
        <v>100</v>
      </c>
      <c r="X40" s="1811"/>
      <c r="Y40" s="3168"/>
      <c r="Z40" s="1812" t="str">
        <f t="shared" si="13"/>
        <v>临街宽度及深度</v>
      </c>
      <c r="AA40" s="1809">
        <f t="shared" si="3"/>
        <v>1</v>
      </c>
      <c r="AB40" s="1809">
        <f t="shared" si="4"/>
        <v>1</v>
      </c>
      <c r="AC40" s="1809">
        <f t="shared" si="5"/>
        <v>1</v>
      </c>
    </row>
    <row r="41" spans="1:29" s="117" customFormat="1" ht="15">
      <c r="A41" s="473"/>
      <c r="B41" s="422" t="s">
        <v>2755</v>
      </c>
      <c r="C41" s="2696" t="s">
        <v>3374</v>
      </c>
      <c r="D41" s="136">
        <v>100</v>
      </c>
      <c r="E41" s="2696" t="s">
        <v>3383</v>
      </c>
      <c r="F41" s="435">
        <f>SUMIF(123:123,E41,124:124)-SUMIF(123:123,C41,124:124)+100</f>
        <v>97</v>
      </c>
      <c r="G41" s="2696" t="s">
        <v>3383</v>
      </c>
      <c r="H41" s="435">
        <f>SUMIF(123:123,G41,124:124)-SUMIF(123:123,C41,124:124)+100</f>
        <v>97</v>
      </c>
      <c r="I41" s="2696" t="s">
        <v>3383</v>
      </c>
      <c r="J41" s="435">
        <f>SUMIF(123:123,I41,124:124)-SUMIF(123:123,C41,124:124)+100</f>
        <v>97</v>
      </c>
      <c r="K41" s="612">
        <v>1</v>
      </c>
      <c r="L41" s="1132"/>
      <c r="M41" s="1133"/>
      <c r="N41" s="1133"/>
      <c r="O41" s="1134"/>
      <c r="P41" s="3168"/>
      <c r="Q41" s="1808" t="str">
        <f t="shared" si="14"/>
        <v>宗地开发程度</v>
      </c>
      <c r="R41" s="770" t="s">
        <v>17</v>
      </c>
      <c r="S41" s="771">
        <f t="shared" si="10"/>
        <v>97</v>
      </c>
      <c r="T41" s="770" t="s">
        <v>17</v>
      </c>
      <c r="U41" s="771">
        <f t="shared" si="11"/>
        <v>97</v>
      </c>
      <c r="V41" s="770" t="s">
        <v>17</v>
      </c>
      <c r="W41" s="771">
        <f t="shared" si="12"/>
        <v>97</v>
      </c>
      <c r="X41" s="772"/>
      <c r="Y41" s="3168"/>
      <c r="Z41" s="55" t="str">
        <f t="shared" si="13"/>
        <v>宗地开发程度</v>
      </c>
      <c r="AA41" s="773">
        <f t="shared" si="3"/>
        <v>1.0309278350515463</v>
      </c>
      <c r="AB41" s="773">
        <f t="shared" si="4"/>
        <v>1.0309278350515463</v>
      </c>
      <c r="AC41" s="773">
        <f t="shared" si="5"/>
        <v>1.0309278350515463</v>
      </c>
    </row>
    <row r="42" spans="1:29" ht="15">
      <c r="A42" s="472"/>
      <c r="B42" s="422" t="s">
        <v>2756</v>
      </c>
      <c r="C42" s="2609" t="s">
        <v>3372</v>
      </c>
      <c r="D42" s="435">
        <v>100</v>
      </c>
      <c r="E42" s="2609" t="s">
        <v>3372</v>
      </c>
      <c r="F42" s="435">
        <f>SUMIF(125:125,E42,126:126)-SUMIF(125:125,C42,126:126)+100</f>
        <v>100</v>
      </c>
      <c r="G42" s="2609" t="s">
        <v>3372</v>
      </c>
      <c r="H42" s="435">
        <f>SUMIF(125:125,G42,126:126)-SUMIF(125:125,C42,126:126)+100</f>
        <v>100</v>
      </c>
      <c r="I42" s="2609" t="s">
        <v>3372</v>
      </c>
      <c r="J42" s="435">
        <f>SUMIF(125:125,I42,126:126)-SUMIF(125:125,C42,126:126)+100</f>
        <v>100</v>
      </c>
      <c r="K42" s="612">
        <v>1</v>
      </c>
      <c r="L42" s="1140"/>
      <c r="M42" s="1131"/>
      <c r="N42" s="1131"/>
      <c r="O42" s="1139"/>
      <c r="P42" s="3168" t="s">
        <v>2566</v>
      </c>
      <c r="Q42" s="1808" t="str">
        <f t="shared" si="14"/>
        <v>工程地质条件</v>
      </c>
      <c r="R42" s="774" t="s">
        <v>17</v>
      </c>
      <c r="S42" s="775">
        <f t="shared" si="10"/>
        <v>100</v>
      </c>
      <c r="T42" s="774" t="s">
        <v>17</v>
      </c>
      <c r="U42" s="775">
        <f t="shared" si="11"/>
        <v>100</v>
      </c>
      <c r="V42" s="774" t="s">
        <v>17</v>
      </c>
      <c r="W42" s="775">
        <f t="shared" si="12"/>
        <v>100</v>
      </c>
      <c r="X42" s="1811"/>
      <c r="Y42" s="3168" t="s">
        <v>2566</v>
      </c>
      <c r="Z42" s="1812" t="str">
        <f t="shared" si="13"/>
        <v>工程地质条件</v>
      </c>
      <c r="AA42" s="1809">
        <f t="shared" si="3"/>
        <v>1</v>
      </c>
      <c r="AB42" s="1809">
        <f t="shared" si="4"/>
        <v>1</v>
      </c>
      <c r="AC42" s="1809">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8"/>
      <c r="Q43" s="1808">
        <f t="shared" si="14"/>
        <v>111</v>
      </c>
      <c r="R43" s="774" t="s">
        <v>17</v>
      </c>
      <c r="S43" s="775">
        <f t="shared" si="10"/>
        <v>100</v>
      </c>
      <c r="T43" s="774" t="s">
        <v>17</v>
      </c>
      <c r="U43" s="775">
        <f t="shared" si="11"/>
        <v>100</v>
      </c>
      <c r="V43" s="774" t="s">
        <v>17</v>
      </c>
      <c r="W43" s="775">
        <f t="shared" si="12"/>
        <v>100</v>
      </c>
      <c r="X43" s="1811"/>
      <c r="Y43" s="3168"/>
      <c r="Z43" s="1812">
        <f t="shared" si="13"/>
        <v>111</v>
      </c>
      <c r="AA43" s="1809">
        <f t="shared" si="3"/>
        <v>1</v>
      </c>
      <c r="AB43" s="1809">
        <f t="shared" si="4"/>
        <v>1</v>
      </c>
      <c r="AC43" s="1809">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8"/>
      <c r="Q44" s="1808">
        <f t="shared" si="14"/>
        <v>111</v>
      </c>
      <c r="R44" s="774" t="s">
        <v>17</v>
      </c>
      <c r="S44" s="775">
        <f t="shared" si="10"/>
        <v>100</v>
      </c>
      <c r="T44" s="774" t="s">
        <v>17</v>
      </c>
      <c r="U44" s="775">
        <f t="shared" si="11"/>
        <v>100</v>
      </c>
      <c r="V44" s="774" t="s">
        <v>17</v>
      </c>
      <c r="W44" s="775">
        <f t="shared" si="12"/>
        <v>100</v>
      </c>
      <c r="X44" s="1811"/>
      <c r="Y44" s="3168"/>
      <c r="Z44" s="1812">
        <f t="shared" si="13"/>
        <v>111</v>
      </c>
      <c r="AA44" s="1809">
        <f t="shared" si="3"/>
        <v>1</v>
      </c>
      <c r="AB44" s="1809">
        <f t="shared" si="4"/>
        <v>1</v>
      </c>
      <c r="AC44" s="1809">
        <f t="shared" si="5"/>
        <v>1</v>
      </c>
    </row>
    <row r="45" spans="1:29" s="471" customFormat="1" ht="15.6"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8"/>
      <c r="Q45" s="1808">
        <f t="shared" si="14"/>
        <v>111</v>
      </c>
      <c r="R45" s="777" t="s">
        <v>17</v>
      </c>
      <c r="S45" s="778">
        <f t="shared" si="10"/>
        <v>100</v>
      </c>
      <c r="T45" s="777" t="s">
        <v>17</v>
      </c>
      <c r="U45" s="778">
        <f t="shared" si="11"/>
        <v>100</v>
      </c>
      <c r="V45" s="777" t="s">
        <v>17</v>
      </c>
      <c r="W45" s="778">
        <f t="shared" si="12"/>
        <v>100</v>
      </c>
      <c r="X45" s="779"/>
      <c r="Y45" s="3168"/>
      <c r="Z45" s="780">
        <f t="shared" si="13"/>
        <v>111</v>
      </c>
      <c r="AA45" s="1809">
        <f t="shared" si="3"/>
        <v>1</v>
      </c>
      <c r="AB45" s="1809">
        <f t="shared" si="4"/>
        <v>1</v>
      </c>
      <c r="AC45" s="1809">
        <f t="shared" si="5"/>
        <v>1</v>
      </c>
    </row>
    <row r="46" spans="1:29" ht="14.4">
      <c r="A46" s="479" t="s">
        <v>2721</v>
      </c>
      <c r="B46" s="2698" t="s">
        <v>3432</v>
      </c>
      <c r="C46" s="682" t="s">
        <v>1</v>
      </c>
      <c r="D46" s="481"/>
      <c r="E46" s="482">
        <f>ROUND(案例!AK7,0)</f>
        <v>1708</v>
      </c>
      <c r="F46" s="483"/>
      <c r="G46" s="484">
        <f>ROUND(案例!AK36,0)</f>
        <v>1856</v>
      </c>
      <c r="H46" s="485"/>
      <c r="I46" s="482">
        <f>ROUND(案例!AK4,0)</f>
        <v>1735</v>
      </c>
      <c r="J46" s="485"/>
      <c r="K46" s="783"/>
      <c r="L46" s="1143"/>
      <c r="M46" s="1144"/>
      <c r="N46" s="1131"/>
      <c r="O46" s="1144"/>
      <c r="P46" s="3163" t="str">
        <f>A46</f>
        <v>成交单价</v>
      </c>
      <c r="Q46" s="3163"/>
      <c r="R46" s="3169">
        <f>E46</f>
        <v>1708</v>
      </c>
      <c r="S46" s="3169"/>
      <c r="T46" s="3169">
        <f>G46</f>
        <v>1856</v>
      </c>
      <c r="U46" s="3169"/>
      <c r="V46" s="3169">
        <f>I46</f>
        <v>1735</v>
      </c>
      <c r="W46" s="3169"/>
      <c r="X46" s="759"/>
      <c r="Y46" s="781"/>
      <c r="Z46" s="759"/>
      <c r="AA46" s="759"/>
      <c r="AB46" s="759"/>
      <c r="AC46" s="759"/>
    </row>
    <row r="47" spans="1:29" ht="15" thickBot="1">
      <c r="A47" s="486" t="s">
        <v>2670</v>
      </c>
      <c r="B47" s="683"/>
      <c r="C47" s="490">
        <f>R48</f>
        <v>1973</v>
      </c>
      <c r="D47" s="489"/>
      <c r="E47" s="490">
        <f>R47</f>
        <v>1884</v>
      </c>
      <c r="F47" s="491"/>
      <c r="G47" s="488">
        <f>T47</f>
        <v>2014</v>
      </c>
      <c r="H47" s="489"/>
      <c r="I47" s="490">
        <f>V47</f>
        <v>2022</v>
      </c>
      <c r="J47" s="489"/>
      <c r="K47" s="784"/>
      <c r="L47" s="1143"/>
      <c r="M47" s="1144"/>
      <c r="N47" s="1144"/>
      <c r="O47" s="1144"/>
      <c r="P47" s="3163" t="str">
        <f>A47</f>
        <v>比较价值（元/平方米）</v>
      </c>
      <c r="Q47" s="3163"/>
      <c r="R47" s="3156">
        <f>ROUND(PRODUCT(R46,AA7:AA45),0)</f>
        <v>1884</v>
      </c>
      <c r="S47" s="3156"/>
      <c r="T47" s="3156">
        <f>ROUND(PRODUCT(T46,AB7:AB45),0)</f>
        <v>2014</v>
      </c>
      <c r="U47" s="3156"/>
      <c r="V47" s="3156">
        <f>ROUND(PRODUCT(V46,AC7:AC45),0)</f>
        <v>2022</v>
      </c>
      <c r="W47" s="3156"/>
      <c r="X47" s="759"/>
      <c r="Y47" s="759"/>
      <c r="Z47" s="759"/>
      <c r="AA47" s="759"/>
      <c r="AB47" s="759"/>
      <c r="AC47" s="759"/>
    </row>
    <row r="48" spans="1:29" ht="15" thickBot="1">
      <c r="A48" s="492" t="s">
        <v>2757</v>
      </c>
      <c r="B48" s="493"/>
      <c r="C48" s="494">
        <f>R48</f>
        <v>1973</v>
      </c>
      <c r="D48" s="494"/>
      <c r="E48" s="494"/>
      <c r="F48" s="494"/>
      <c r="G48" s="494"/>
      <c r="H48" s="494"/>
      <c r="I48" s="494"/>
      <c r="J48" s="494"/>
      <c r="K48" s="785"/>
      <c r="L48" s="1143"/>
      <c r="M48" s="1144"/>
      <c r="N48" s="1144"/>
      <c r="O48" s="1144"/>
      <c r="P48" s="3157" t="str">
        <f>A48</f>
        <v>估价对象XX用房的比较价值（楼面单价，元/平方米）</v>
      </c>
      <c r="Q48" s="3158"/>
      <c r="R48" s="3159">
        <f>ROUND(AVERAGE(R47:V47),0)</f>
        <v>1973</v>
      </c>
      <c r="S48" s="3159"/>
      <c r="T48" s="3159"/>
      <c r="U48" s="3159"/>
      <c r="V48" s="3159"/>
      <c r="W48" s="315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0.10304449648711933</v>
      </c>
      <c r="F51" s="500" t="str">
        <f>IF(OR(E51&gt;=0.3,E51&lt;=-0.3),"超过30%","")</f>
        <v/>
      </c>
      <c r="G51" s="499">
        <f>IF(G46&lt;G47,G47/G46-1,G46/G47-1)</f>
        <v>8.5129310344827624E-2</v>
      </c>
      <c r="H51" s="500" t="str">
        <f>IF(OR(G51&gt;=0.3,G51&lt;=-0.3),"超过30%","")</f>
        <v/>
      </c>
      <c r="I51" s="499">
        <f>IF(I46&lt;I47,I47/I46-1,I46/I47-1)</f>
        <v>0.16541786743515852</v>
      </c>
      <c r="J51" s="500" t="str">
        <f>IF(OR(I51&gt;=0.3,I51&lt;=-0.3),"超过30%","")</f>
        <v/>
      </c>
      <c r="K51" s="1105"/>
      <c r="L51" s="1106"/>
      <c r="M51" s="1144"/>
      <c r="N51" s="1144"/>
      <c r="O51" s="1144"/>
    </row>
    <row r="52" spans="1:15" ht="13.5" customHeight="1">
      <c r="A52" s="1144"/>
      <c r="B52" s="1144"/>
      <c r="C52" s="497" t="s">
        <v>2673</v>
      </c>
      <c r="D52" s="501"/>
      <c r="E52" s="499">
        <f>IF(E47&lt;G47,G47/E47-1,E47/G47-1)</f>
        <v>6.9002123142250626E-2</v>
      </c>
      <c r="F52" s="500" t="str">
        <f>IF(OR(E52&gt;=0.2,E52&lt;=-0.2),"超过20%","")</f>
        <v/>
      </c>
      <c r="G52" s="499">
        <f>IF(G47&lt;I47,I47/G47-1,G47/I47-1)</f>
        <v>3.9721946375372852E-3</v>
      </c>
      <c r="H52" s="500" t="str">
        <f>IF(OR(G52&gt;=0.2,G52&lt;=-0.2),"超过20%","")</f>
        <v/>
      </c>
      <c r="I52" s="499">
        <f>IF(I47&lt;E47,E47/I47-1,I47/E47-1)</f>
        <v>7.3248407643312197E-2</v>
      </c>
      <c r="J52" s="500" t="str">
        <f>IF(OR(I52&gt;=0.2,I52&lt;=-0.2),"超过20%","")</f>
        <v/>
      </c>
      <c r="K52" s="1105"/>
      <c r="L52" s="1106"/>
      <c r="M52" s="1144"/>
      <c r="N52" s="1144"/>
      <c r="O52" s="1144"/>
    </row>
    <row r="53" spans="1:15" s="502" customFormat="1" ht="13.5" customHeight="1">
      <c r="A53" s="1145"/>
      <c r="B53" s="1145"/>
      <c r="C53" s="497" t="s">
        <v>2674</v>
      </c>
      <c r="D53" s="501"/>
      <c r="E53" s="499">
        <f>IF(E46&lt;G46,G46/E46-1,E46/G46-1)</f>
        <v>8.6651053864168714E-2</v>
      </c>
      <c r="F53" s="500" t="str">
        <f>IF(OR(E53&gt;=0.3,E53&lt;=-0.3),"超过30%","")</f>
        <v/>
      </c>
      <c r="G53" s="499">
        <f>IF(G46&lt;I46,I46/G46-1,G46/I46-1)</f>
        <v>6.974063400576358E-2</v>
      </c>
      <c r="H53" s="500" t="str">
        <f>IF(OR(G53&gt;=0.3,G53&lt;=-0.3),"超过30%","")</f>
        <v/>
      </c>
      <c r="I53" s="499">
        <f>IF(I46&lt;E46,E46/I46-1,I46/E46-1)</f>
        <v>1.5807962529273967E-2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9" t="s">
        <v>2760</v>
      </c>
      <c r="D55" s="2700" t="s">
        <v>2761</v>
      </c>
      <c r="E55" s="686" t="s">
        <v>2762</v>
      </c>
      <c r="F55" s="1107" t="s">
        <v>2763</v>
      </c>
      <c r="G55" s="3160" t="s">
        <v>2764</v>
      </c>
      <c r="H55" s="3161"/>
      <c r="I55" s="144" t="s">
        <v>2765</v>
      </c>
      <c r="J55" s="2701" t="str">
        <f>项目基本情况!F35</f>
        <v>广西自治区</v>
      </c>
      <c r="K55" s="2702" t="s">
        <v>2766</v>
      </c>
      <c r="L55" s="1106"/>
      <c r="M55" s="1144"/>
      <c r="N55" s="1144"/>
      <c r="O55" s="1144"/>
    </row>
    <row r="56" spans="1:15" s="692" customFormat="1">
      <c r="A56" s="688" t="s">
        <v>2767</v>
      </c>
      <c r="B56" s="689">
        <f>C48</f>
        <v>1973</v>
      </c>
      <c r="C56" s="690">
        <v>1</v>
      </c>
      <c r="D56" s="1163">
        <v>1</v>
      </c>
      <c r="E56" s="690">
        <f>'数据-汇总表'!E8+'数据-汇总表'!E9</f>
        <v>49782.53</v>
      </c>
      <c r="F56" s="1103">
        <f t="shared" ref="F56:F65" si="15">ROUND(B56*E56/10000,0)</f>
        <v>9822</v>
      </c>
      <c r="G56" s="3162"/>
      <c r="H56" s="3163"/>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164"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164"/>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164"/>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164"/>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03"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03" t="s">
        <v>2769</v>
      </c>
      <c r="H64" s="1104">
        <f>项目基本情况!B37</f>
        <v>0</v>
      </c>
      <c r="I64" s="1108">
        <f>SUMIF(修正!A45:A56,H64,修正!H45:H56)</f>
        <v>0</v>
      </c>
      <c r="J64" s="1112"/>
      <c r="K64" s="1145"/>
      <c r="L64" s="941"/>
      <c r="M64" s="941"/>
      <c r="N64" s="941"/>
      <c r="O64" s="941"/>
    </row>
    <row r="65" spans="1:17" s="692" customFormat="1" ht="14.4" thickBot="1">
      <c r="A65" s="693" t="s">
        <v>2780</v>
      </c>
      <c r="B65" s="262">
        <f t="shared" si="17"/>
        <v>0</v>
      </c>
      <c r="C65" s="200">
        <f t="shared" si="16"/>
        <v>0</v>
      </c>
      <c r="D65" s="1164">
        <v>0.25</v>
      </c>
      <c r="E65" s="261">
        <f>'数据-汇总表'!E15</f>
        <v>0</v>
      </c>
      <c r="F65" s="1103">
        <f t="shared" si="15"/>
        <v>0</v>
      </c>
      <c r="G65" s="2704" t="s">
        <v>2774</v>
      </c>
      <c r="H65" s="1114">
        <f>项目基本情况!C37</f>
        <v>0</v>
      </c>
      <c r="I65" s="1110">
        <f>SUMIF(修正!A45:A56,H65,修正!H45:H56)</f>
        <v>0</v>
      </c>
      <c r="J65" s="1113"/>
      <c r="K65" s="1144"/>
      <c r="L65" s="941"/>
      <c r="M65" s="941"/>
      <c r="N65" s="941"/>
      <c r="O65" s="941"/>
    </row>
    <row r="66" spans="1:17" s="692" customFormat="1" thickBot="1">
      <c r="A66" s="695" t="s">
        <v>2781</v>
      </c>
      <c r="B66" s="696" t="s">
        <v>28</v>
      </c>
      <c r="C66" s="696" t="s">
        <v>29</v>
      </c>
      <c r="D66" s="696" t="s">
        <v>1029</v>
      </c>
      <c r="E66" s="696">
        <f>IF(B46="楼面地价",SUM(E56:E65),'数据-汇总表'!D3)</f>
        <v>49782.53</v>
      </c>
      <c r="F66" s="697">
        <f>IF(B46="楼面地价",SUM(F56:F65),ROUND(C48*E66/10000,0))</f>
        <v>9822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2675</v>
      </c>
      <c r="B69" s="759"/>
      <c r="C69" s="764"/>
      <c r="D69" s="764"/>
      <c r="E69" s="764"/>
      <c r="F69" s="765"/>
      <c r="G69" s="765"/>
      <c r="H69" s="764"/>
      <c r="I69" s="764"/>
      <c r="J69" s="1159"/>
      <c r="K69" s="1160"/>
      <c r="L69" s="1161"/>
      <c r="M69" s="1159"/>
      <c r="N69" s="1159"/>
      <c r="O69" s="1159"/>
      <c r="P69" s="503"/>
      <c r="Q69" s="504"/>
    </row>
    <row r="70" spans="1:17" s="508" customFormat="1" ht="14.4">
      <c r="A70" s="2705" t="s">
        <v>2782</v>
      </c>
      <c r="B70" s="1359"/>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7"/>
    </row>
    <row r="71" spans="1:17" s="117" customFormat="1" ht="30" customHeight="1">
      <c r="A71" s="2706" t="s">
        <v>2783</v>
      </c>
      <c r="B71" s="332" t="str">
        <f>"北京市平均增长率"&amp;TEXT(SUMIF(基准地价修正!N21:N25,A71,基准地价修正!P21:P25),"0.00%")</f>
        <v>北京市平均增长率0.00%</v>
      </c>
      <c r="C71" s="603">
        <v>100</v>
      </c>
      <c r="D71" s="595">
        <f>C71-$C$72</f>
        <v>98.5</v>
      </c>
      <c r="E71" s="595">
        <f t="shared" ref="E71:O71" si="20">D71-$C$72</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595">
        <f t="shared" si="20"/>
        <v>82</v>
      </c>
      <c r="P71" s="504"/>
    </row>
    <row r="72" spans="1:17" s="117" customFormat="1" ht="15" thickBot="1">
      <c r="A72" s="515" t="s">
        <v>2586</v>
      </c>
      <c r="B72" s="516"/>
      <c r="C72" s="517">
        <v>1.5</v>
      </c>
      <c r="D72" s="518"/>
      <c r="E72" s="518"/>
      <c r="F72" s="518"/>
      <c r="G72" s="518"/>
      <c r="H72" s="518"/>
      <c r="I72" s="518"/>
      <c r="J72" s="518"/>
      <c r="K72" s="518"/>
      <c r="L72" s="518"/>
      <c r="M72" s="519"/>
      <c r="N72" s="518"/>
      <c r="O72" s="1162"/>
      <c r="P72" s="504"/>
      <c r="Q72" s="504"/>
    </row>
    <row r="73" spans="1:17" s="117" customFormat="1" ht="14.4">
      <c r="A73" s="521" t="s">
        <v>2551</v>
      </c>
      <c r="B73" s="510"/>
      <c r="C73" s="522" t="s">
        <v>2653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2589</v>
      </c>
      <c r="B75" s="528" t="s">
        <v>2555</v>
      </c>
      <c r="C75" s="2964" t="s">
        <v>3449</v>
      </c>
      <c r="D75" s="530"/>
      <c r="E75" s="530"/>
      <c r="F75" s="530"/>
      <c r="G75" s="530"/>
      <c r="H75" s="530"/>
      <c r="I75" s="530"/>
      <c r="J75" s="530"/>
      <c r="K75" s="531"/>
      <c r="L75" s="532"/>
      <c r="M75" s="533"/>
      <c r="N75" s="1152"/>
      <c r="O75" s="1152"/>
      <c r="P75" s="45"/>
      <c r="Q75" s="504"/>
    </row>
    <row r="76" spans="1:17" ht="14.4" thickBot="1">
      <c r="A76" s="534"/>
      <c r="B76" s="535"/>
      <c r="C76" s="536">
        <v>100</v>
      </c>
      <c r="D76" s="536">
        <v>100</v>
      </c>
      <c r="E76" s="536">
        <v>99</v>
      </c>
      <c r="F76" s="536"/>
      <c r="G76" s="536"/>
      <c r="H76" s="536"/>
      <c r="I76" s="536"/>
      <c r="J76" s="536"/>
      <c r="K76" s="536"/>
      <c r="L76" s="536"/>
      <c r="M76" s="537"/>
      <c r="N76" s="1153"/>
      <c r="O76" s="1153"/>
      <c r="P76" s="45"/>
      <c r="Q76" s="504"/>
    </row>
    <row r="77" spans="1:17" ht="29.4" thickTop="1">
      <c r="A77" s="534"/>
      <c r="B77" s="538" t="s">
        <v>2558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c r="I80" s="549"/>
      <c r="J80" s="549"/>
      <c r="K80" s="550"/>
      <c r="L80" s="551"/>
      <c r="M80" s="552"/>
      <c r="N80" s="1152"/>
      <c r="O80" s="1152"/>
      <c r="P80" s="45"/>
      <c r="Q80" s="504"/>
    </row>
    <row r="81" spans="1:17" ht="14.4" thickBot="1">
      <c r="A81" s="534"/>
      <c r="B81" s="535"/>
      <c r="C81" s="544">
        <v>100</v>
      </c>
      <c r="D81" s="544">
        <f t="shared" ref="D81:M81" si="22">IF($B$46="单位面积地价",C81+$K11,C81-$K11)</f>
        <v>97</v>
      </c>
      <c r="E81" s="544">
        <f t="shared" si="22"/>
        <v>94</v>
      </c>
      <c r="F81" s="544">
        <f t="shared" si="22"/>
        <v>91</v>
      </c>
      <c r="G81" s="544">
        <f t="shared" si="22"/>
        <v>88</v>
      </c>
      <c r="H81" s="544">
        <f t="shared" si="22"/>
        <v>85</v>
      </c>
      <c r="I81" s="544">
        <f t="shared" si="22"/>
        <v>82</v>
      </c>
      <c r="J81" s="544">
        <f t="shared" si="22"/>
        <v>79</v>
      </c>
      <c r="K81" s="544">
        <f t="shared" si="22"/>
        <v>76</v>
      </c>
      <c r="L81" s="544">
        <f t="shared" si="22"/>
        <v>73</v>
      </c>
      <c r="M81" s="544">
        <f t="shared" si="22"/>
        <v>70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4.4" thickBot="1">
      <c r="A89" s="534"/>
      <c r="B89" s="543"/>
      <c r="C89" s="544">
        <v>100</v>
      </c>
      <c r="D89" s="544">
        <f>C89-$K15</f>
        <v>95</v>
      </c>
      <c r="E89" s="544">
        <f>D89-$K15</f>
        <v>90</v>
      </c>
      <c r="F89" s="544">
        <f>E89-$K15</f>
        <v>85</v>
      </c>
      <c r="G89" s="544">
        <f>F89-$K15</f>
        <v>80</v>
      </c>
      <c r="H89" s="544"/>
      <c r="I89" s="544"/>
      <c r="J89" s="544"/>
      <c r="K89" s="544"/>
      <c r="L89" s="544"/>
      <c r="M89" s="545"/>
      <c r="N89" s="1153"/>
      <c r="O89" s="1153"/>
      <c r="P89" s="45"/>
      <c r="Q89" s="504"/>
    </row>
    <row r="90" spans="1:17" ht="15" thickTop="1">
      <c r="A90" s="534"/>
      <c r="B90" s="538" t="s">
        <v>2784</v>
      </c>
      <c r="C90" s="578" t="s">
        <v>2598</v>
      </c>
      <c r="D90" s="578" t="s">
        <v>2599</v>
      </c>
      <c r="E90" s="578" t="s">
        <v>2600</v>
      </c>
      <c r="F90" s="578" t="s">
        <v>2601</v>
      </c>
      <c r="G90" s="578" t="s">
        <v>2602</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2785</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2786</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2692</v>
      </c>
      <c r="C106" s="2961" t="s">
        <v>3450</v>
      </c>
      <c r="D106" s="2961" t="s">
        <v>3451</v>
      </c>
      <c r="E106" s="2961" t="s">
        <v>3452</v>
      </c>
      <c r="F106" s="2961" t="s">
        <v>3453</v>
      </c>
      <c r="G106" s="2961" t="s">
        <v>3454</v>
      </c>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2751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2564</v>
      </c>
      <c r="B116" s="528" t="s">
        <v>2791</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4.4" thickBot="1">
      <c r="A118" s="534"/>
      <c r="B118" s="543"/>
      <c r="C118" s="570">
        <v>100</v>
      </c>
      <c r="D118" s="591">
        <v>102</v>
      </c>
      <c r="E118" s="591">
        <v>104</v>
      </c>
      <c r="F118" s="591">
        <v>106</v>
      </c>
      <c r="G118" s="591"/>
      <c r="H118" s="591"/>
      <c r="I118" s="591"/>
      <c r="J118" s="591"/>
      <c r="K118" s="591"/>
      <c r="L118" s="591"/>
      <c r="M118" s="592"/>
      <c r="N118" s="1153"/>
      <c r="O118" s="1153"/>
      <c r="P118" s="45"/>
      <c r="Q118" s="504"/>
    </row>
    <row r="119" spans="1:17" ht="15" thickTop="1">
      <c r="A119" s="599"/>
      <c r="B119" s="538" t="s">
        <v>2792</v>
      </c>
      <c r="C119" s="2960" t="s">
        <v>3375</v>
      </c>
      <c r="D119" s="2960" t="s">
        <v>3377</v>
      </c>
      <c r="E119" s="2960" t="s">
        <v>3378</v>
      </c>
      <c r="F119" s="2960" t="s">
        <v>3379</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2793</v>
      </c>
      <c r="C121" s="2961" t="s">
        <v>3381</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2794</v>
      </c>
      <c r="C123" s="2962" t="s">
        <v>2676</v>
      </c>
      <c r="D123" s="2962" t="s">
        <v>2677</v>
      </c>
      <c r="E123" s="2962" t="s">
        <v>2678</v>
      </c>
      <c r="F123" s="2962" t="s">
        <v>2679</v>
      </c>
      <c r="G123" s="2962" t="s">
        <v>2680</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2795</v>
      </c>
      <c r="C125" s="2961" t="s">
        <v>3382</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广西自治区叠彩区站前路以北、春江路以东、漓江以西出让国有建设用地使用权及在建建筑物房地产抵押价值预评估</v>
      </c>
      <c r="C37" s="2970"/>
      <c r="D37" s="2970"/>
      <c r="E37" s="2970"/>
      <c r="F37" s="2970"/>
      <c r="G37" s="2970"/>
      <c r="H37" s="2970"/>
      <c r="I37" s="2970"/>
    </row>
    <row r="38" spans="1:9">
      <c r="A38" s="1016"/>
      <c r="B38" s="1016"/>
    </row>
    <row r="39" spans="1:9">
      <c r="A39" s="1014" t="s">
        <v>818</v>
      </c>
      <c r="B39" s="1014" t="s">
        <v>820</v>
      </c>
    </row>
    <row r="40" spans="1:9">
      <c r="A40" s="1014"/>
      <c r="B40" s="1940" t="str">
        <f>项目基本情况!B5</f>
        <v>桂林恒大房地产有限公司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王鹏（注册号：1120050019)、崔锴（注册号：1120100036)</v>
      </c>
    </row>
    <row r="47" spans="1:9">
      <c r="A47" s="1014"/>
      <c r="B47" s="1014" t="str">
        <f>项目基本情况!K5</f>
        <v/>
      </c>
    </row>
    <row r="48" spans="1:9">
      <c r="A48" s="1014" t="s">
        <v>818</v>
      </c>
      <c r="B48" s="1014" t="s">
        <v>824</v>
      </c>
    </row>
    <row r="49" spans="2:2">
      <c r="B49" s="1940" t="str">
        <f>"康正预评字"&amp;项目基本情况!B2&amp;"号"</f>
        <v>康正预评字2018-1-0619-P01DYGJ1号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E31" sqref="E3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2330</v>
      </c>
      <c r="B1" s="1935"/>
      <c r="C1" s="242"/>
      <c r="D1" s="242"/>
      <c r="E1" s="242"/>
      <c r="F1" s="242"/>
      <c r="G1" s="1379">
        <f>MATCH(B1,'数据-取费表'!A6:A16,0)+5</f>
        <v>9</v>
      </c>
    </row>
    <row r="2" spans="1:9" s="244" customFormat="1" ht="18" customHeight="1">
      <c r="A2" s="245" t="s">
        <v>2331</v>
      </c>
      <c r="B2" s="246">
        <f ca="1">IF(D2="——",C52,C52-E2)</f>
        <v>32493</v>
      </c>
      <c r="C2" s="243" t="s">
        <v>2332</v>
      </c>
      <c r="D2" s="2544" t="s">
        <v>70</v>
      </c>
      <c r="E2" s="1439" t="e">
        <f ca="1">SUMIF(INDIRECT("'"&amp;G2&amp;"'"&amp;"!A:A"),"承租人权益价值",INDIRECT("'"&amp;G2&amp;"'"&amp;"!c:c"))</f>
        <v>#REF!</v>
      </c>
      <c r="F2" s="2545" t="s">
        <v>2332</v>
      </c>
      <c r="G2" s="2546"/>
    </row>
    <row r="3" spans="1:9" s="244" customFormat="1" ht="18" customHeight="1" thickBot="1">
      <c r="A3" s="247" t="s">
        <v>2333</v>
      </c>
      <c r="B3" s="248">
        <f ca="1">ROUND(B2*10000/(IF(B1="",'数据-汇总表'!E3,INDIRECT("'数据-取费表'!k"&amp;$G$1))),0)</f>
        <v>6527</v>
      </c>
      <c r="C3" s="243" t="s">
        <v>2334</v>
      </c>
      <c r="D3" s="243"/>
      <c r="E3" s="243"/>
      <c r="F3" s="243"/>
      <c r="G3" s="243"/>
    </row>
    <row r="4" spans="1:9" s="252" customFormat="1" ht="16.2">
      <c r="A4" s="249" t="s">
        <v>2335</v>
      </c>
      <c r="B4" s="250"/>
      <c r="C4" s="250"/>
      <c r="D4" s="250"/>
      <c r="E4" s="250"/>
      <c r="F4" s="250"/>
      <c r="G4" s="251"/>
    </row>
    <row r="5" spans="1:9" s="258" customFormat="1" ht="13.5" customHeight="1">
      <c r="A5" s="299" t="s">
        <v>2336</v>
      </c>
      <c r="B5" s="254" t="s">
        <v>2337</v>
      </c>
      <c r="C5" s="255">
        <f ca="1">C6+C7+C8</f>
        <v>10371</v>
      </c>
      <c r="D5" s="255" t="s">
        <v>2338</v>
      </c>
      <c r="E5" s="256" t="s">
        <v>2339</v>
      </c>
      <c r="F5" s="256" t="s">
        <v>2340</v>
      </c>
      <c r="G5" s="257"/>
    </row>
    <row r="6" spans="1:9" s="258" customFormat="1" ht="13.5" customHeight="1">
      <c r="A6" s="949" t="s">
        <v>2341</v>
      </c>
      <c r="B6" s="259" t="s">
        <v>2342</v>
      </c>
      <c r="C6" s="260">
        <f>'土地比较法-住宅、综合'!B2</f>
        <v>9822</v>
      </c>
      <c r="D6" s="261"/>
      <c r="E6" s="262"/>
      <c r="F6" s="262"/>
      <c r="G6" s="263"/>
    </row>
    <row r="7" spans="1:9" s="258" customFormat="1" ht="13.5" customHeight="1">
      <c r="A7" s="949" t="s">
        <v>2343</v>
      </c>
      <c r="B7" s="259" t="s">
        <v>2344</v>
      </c>
      <c r="C7" s="264">
        <f>ROUND(C6*F7,0)</f>
        <v>300</v>
      </c>
      <c r="D7" s="264"/>
      <c r="E7" s="262"/>
      <c r="F7" s="265">
        <f>'数据-取费表'!B48+'数据-取费表'!B49</f>
        <v>3.0499999999999999E-2</v>
      </c>
      <c r="G7" s="263"/>
    </row>
    <row r="8" spans="1:9" s="267" customFormat="1">
      <c r="A8" s="949" t="s">
        <v>2345</v>
      </c>
      <c r="B8" s="259" t="s">
        <v>2346</v>
      </c>
      <c r="C8" s="264">
        <f ca="1">IF(G8="已包含在土地购买价格中","0",IF(B1="",'数据-取费表'!B29,IF(G9="全部缴纳",C9+C10,H9)))</f>
        <v>249</v>
      </c>
      <c r="D8" s="266"/>
      <c r="E8" s="264"/>
      <c r="F8" s="265"/>
      <c r="G8" s="2547" t="s">
        <v>3066</v>
      </c>
    </row>
    <row r="9" spans="1:9" s="258" customFormat="1" ht="13.5" customHeight="1">
      <c r="A9" s="950" t="s">
        <v>800</v>
      </c>
      <c r="B9" s="268" t="s">
        <v>2347</v>
      </c>
      <c r="C9" s="269">
        <f ca="1">ROUND(D9*E9/10000,0)</f>
        <v>249</v>
      </c>
      <c r="D9" s="1032">
        <f ca="1">IF(B1="",'数据-汇总表'!E5,IF(INDIRECT("'数据-取费表'!c"&amp;$G$1)="住宅",INDIRECT("'数据-取费表'!k"&amp;$G$1),0))</f>
        <v>49782.53</v>
      </c>
      <c r="E9" s="269">
        <f>'数据-取费表'!B27</f>
        <v>50</v>
      </c>
      <c r="F9" s="265"/>
      <c r="G9" s="2548" t="s">
        <v>3067</v>
      </c>
      <c r="H9" s="2956">
        <f ca="1">C9+C10</f>
        <v>249</v>
      </c>
      <c r="I9" s="2549" t="s">
        <v>2348</v>
      </c>
    </row>
    <row r="10" spans="1:9" s="258" customFormat="1" ht="13.5" customHeight="1">
      <c r="A10" s="950" t="s">
        <v>801</v>
      </c>
      <c r="B10" s="268" t="s">
        <v>2349</v>
      </c>
      <c r="C10" s="269">
        <f ca="1">ROUND(D10*E10/10000,0)</f>
        <v>0</v>
      </c>
      <c r="D10" s="1032">
        <f ca="1">IF(B1="",'数据-汇总表'!E6,IF(INDIRECT("'数据-取费表'!c"&amp;$G$1)="住宅",INDIRECT("'数据-取费表'!s"&amp;$G$1),INDIRECT("'数据-取费表'!k"&amp;$G$1)+INDIRECT("'数据-取费表'!s"&amp;$G$1)))</f>
        <v>0</v>
      </c>
      <c r="E10" s="269">
        <f>'数据-取费表'!B28</f>
        <v>90</v>
      </c>
      <c r="F10" s="265"/>
      <c r="G10" s="270"/>
    </row>
    <row r="11" spans="1:9" s="258" customFormat="1" ht="13.5" hidden="1" customHeight="1">
      <c r="A11" s="271" t="s">
        <v>7</v>
      </c>
      <c r="B11" s="259" t="s">
        <v>2350</v>
      </c>
      <c r="C11" s="255"/>
      <c r="D11" s="1034"/>
      <c r="E11" s="262"/>
      <c r="F11" s="262"/>
      <c r="G11" s="263"/>
    </row>
    <row r="12" spans="1:9" s="258" customFormat="1" ht="13.5" hidden="1" customHeight="1">
      <c r="A12" s="271" t="s">
        <v>8</v>
      </c>
      <c r="B12" s="259" t="s">
        <v>2351</v>
      </c>
      <c r="C12" s="255">
        <v>0</v>
      </c>
      <c r="D12" s="1034"/>
      <c r="E12" s="272"/>
      <c r="F12" s="265">
        <v>3.0499999999999999E-2</v>
      </c>
      <c r="G12" s="263"/>
    </row>
    <row r="13" spans="1:9" s="258" customFormat="1" ht="13.5" hidden="1" customHeight="1">
      <c r="A13" s="271" t="s">
        <v>9</v>
      </c>
      <c r="B13" s="259" t="s">
        <v>2352</v>
      </c>
      <c r="C13" s="255"/>
      <c r="D13" s="1034"/>
      <c r="E13" s="262"/>
      <c r="F13" s="262"/>
      <c r="G13" s="263"/>
    </row>
    <row r="14" spans="1:9" s="258" customFormat="1" ht="13.5" hidden="1" customHeight="1">
      <c r="A14" s="271" t="s">
        <v>10</v>
      </c>
      <c r="B14" s="259" t="s">
        <v>2353</v>
      </c>
      <c r="C14" s="255"/>
      <c r="D14" s="1034"/>
      <c r="E14" s="262"/>
      <c r="F14" s="262"/>
      <c r="G14" s="263" t="s">
        <v>2354</v>
      </c>
    </row>
    <row r="15" spans="1:9" s="258" customFormat="1" ht="13.5" hidden="1" customHeight="1">
      <c r="A15" s="271" t="s">
        <v>11</v>
      </c>
      <c r="B15" s="259" t="s">
        <v>2355</v>
      </c>
      <c r="C15" s="264"/>
      <c r="D15" s="1034"/>
      <c r="E15" s="262"/>
      <c r="F15" s="262"/>
      <c r="G15" s="263" t="s">
        <v>2356</v>
      </c>
    </row>
    <row r="16" spans="1:9" s="258" customFormat="1" ht="13.5" hidden="1" customHeight="1">
      <c r="A16" s="271" t="s">
        <v>12</v>
      </c>
      <c r="B16" s="259" t="s">
        <v>2353</v>
      </c>
      <c r="C16" s="264"/>
      <c r="D16" s="1034"/>
      <c r="E16" s="262"/>
      <c r="F16" s="262"/>
      <c r="G16" s="263"/>
    </row>
    <row r="17" spans="1:7" s="258" customFormat="1" ht="13.5" hidden="1" customHeight="1">
      <c r="A17" s="271" t="s">
        <v>13</v>
      </c>
      <c r="B17" s="259" t="s">
        <v>2357</v>
      </c>
      <c r="C17" s="273"/>
      <c r="D17" s="1035"/>
      <c r="E17" s="273"/>
      <c r="F17" s="273"/>
      <c r="G17" s="263" t="s">
        <v>2356</v>
      </c>
    </row>
    <row r="18" spans="1:7" s="258" customFormat="1" ht="13.5" hidden="1" customHeight="1">
      <c r="A18" s="271" t="s">
        <v>14</v>
      </c>
      <c r="B18" s="259" t="s">
        <v>2358</v>
      </c>
      <c r="C18" s="264">
        <v>0</v>
      </c>
      <c r="D18" s="1034"/>
      <c r="E18" s="262"/>
      <c r="F18" s="265">
        <v>3.0499999999999999E-2</v>
      </c>
      <c r="G18" s="263" t="s">
        <v>2359</v>
      </c>
    </row>
    <row r="19" spans="1:7" s="267" customFormat="1" ht="13.5" customHeight="1">
      <c r="A19" s="299" t="s">
        <v>2360</v>
      </c>
      <c r="B19" s="254" t="s">
        <v>2361</v>
      </c>
      <c r="C19" s="255" t="str">
        <f>IF(G19="已包含在土地取得成本中","0",ROUND(D19*E19/10000,0))</f>
        <v>0</v>
      </c>
      <c r="D19" s="1036">
        <f ca="1">D9+D10</f>
        <v>49782.53</v>
      </c>
      <c r="E19" s="255">
        <f>'数据-取费表'!B31</f>
        <v>200</v>
      </c>
      <c r="F19" s="275"/>
      <c r="G19" s="2547" t="s">
        <v>3068</v>
      </c>
    </row>
    <row r="20" spans="1:7" s="258" customFormat="1" ht="13.5" customHeight="1">
      <c r="A20" s="299" t="s">
        <v>2362</v>
      </c>
      <c r="B20" s="254" t="s">
        <v>2363</v>
      </c>
      <c r="C20" s="276">
        <f ca="1">ROUND((C5+C19)*F20,0)</f>
        <v>207</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4">
        <f ca="1">ROUND(SUM(C23:C25),0)</f>
        <v>965</v>
      </c>
      <c r="D22" s="279">
        <f ca="1">C26</f>
        <v>8.9999999999999998E-4</v>
      </c>
      <c r="E22" s="280" t="s">
        <v>2367</v>
      </c>
      <c r="F22" s="281">
        <f ca="1">'数据-取费表'!B40</f>
        <v>4.7500000000000001E-2</v>
      </c>
      <c r="G22" s="278" t="str">
        <f>IF('数据-取费表'!B22&lt;=1,"单利计息","复利计息")</f>
        <v>复利计息</v>
      </c>
    </row>
    <row r="23" spans="1:7" s="258" customFormat="1" ht="13.5" customHeight="1">
      <c r="A23" s="951" t="s">
        <v>2371</v>
      </c>
      <c r="B23" s="259" t="s">
        <v>2372</v>
      </c>
      <c r="C23" s="1355">
        <f ca="1">ROUND(IF('数据-取费表'!B22&lt;=1,C5*F22*'数据-取费表'!B23,C5*(POWER((1+F22),'数据-取费表'!B23)-1)),0)</f>
        <v>956</v>
      </c>
      <c r="D23" s="282"/>
      <c r="E23" s="282"/>
      <c r="F23" s="283"/>
      <c r="G23" s="284" t="s">
        <v>2373</v>
      </c>
    </row>
    <row r="24" spans="1:7" s="258" customFormat="1" ht="13.5" customHeight="1">
      <c r="A24" s="951" t="s">
        <v>2374</v>
      </c>
      <c r="B24" s="259" t="s">
        <v>2375</v>
      </c>
      <c r="C24" s="1355">
        <f ca="1">ROUND(IF('数据-取费表'!B22&lt;=1,C19*F22*('数据-取费表'!B19/2+'数据-取费表'!B21),C19*(POWER((1+F22),('数据-取费表'!B19/2+'数据-取费表'!B21))-1)),0)</f>
        <v>0</v>
      </c>
      <c r="D24" s="282"/>
      <c r="E24" s="282"/>
      <c r="F24" s="283"/>
      <c r="G24" s="284" t="s">
        <v>2376</v>
      </c>
    </row>
    <row r="25" spans="1:7" s="258" customFormat="1" ht="24">
      <c r="A25" s="951" t="s">
        <v>2377</v>
      </c>
      <c r="B25" s="259" t="s">
        <v>2378</v>
      </c>
      <c r="C25" s="1355">
        <f ca="1">ROUND(IF('数据-取费表'!B22&lt;=1,C20*F22*'数据-取费表'!B23/2,C20*(POWER((1+F22),'数据-取费表'!B23/2)-1)),0)</f>
        <v>9</v>
      </c>
      <c r="D25" s="282"/>
      <c r="E25" s="285"/>
      <c r="F25" s="283"/>
      <c r="G25" s="286" t="s">
        <v>2379</v>
      </c>
    </row>
    <row r="26" spans="1:7" s="258" customFormat="1">
      <c r="A26" s="951" t="s">
        <v>795</v>
      </c>
      <c r="B26" s="259" t="s">
        <v>2380</v>
      </c>
      <c r="C26" s="282">
        <f ca="1">ROUND(IF('数据-取费表'!B22&lt;=1,F21*F22*'数据-取费表'!B23/2,F21*(POWER((1+F22),'数据-取费表'!B23/2)-1)),4)</f>
        <v>8.9999999999999998E-4</v>
      </c>
      <c r="D26" s="282"/>
      <c r="E26" s="285"/>
      <c r="F26" s="283"/>
      <c r="G26" s="287"/>
    </row>
    <row r="27" spans="1:7" s="258" customFormat="1" ht="26.4">
      <c r="A27" s="299" t="s">
        <v>2381</v>
      </c>
      <c r="B27" s="288" t="s">
        <v>2382</v>
      </c>
      <c r="C27" s="289">
        <f ca="1">C28</f>
        <v>1507</v>
      </c>
      <c r="D27" s="279">
        <f ca="1">C29</f>
        <v>2.8999999999999998E-3</v>
      </c>
      <c r="E27" s="280" t="s">
        <v>2383</v>
      </c>
      <c r="F27" s="290">
        <f ca="1">IF(B1="",'数据-取费表'!Q16,INDIRECT("'数据-取费表'!q"&amp;$G$1))</f>
        <v>0.15</v>
      </c>
      <c r="G27" s="291" t="s">
        <v>2384</v>
      </c>
    </row>
    <row r="28" spans="1:7" s="258" customFormat="1" ht="13.5" customHeight="1">
      <c r="A28" s="951" t="s">
        <v>791</v>
      </c>
      <c r="B28" s="292" t="s">
        <v>2385</v>
      </c>
      <c r="C28" s="293">
        <f ca="1">ROUND((C5+C19+C20)*F27*'数据-取费表'!B21/'数据-取费表'!B20,0)</f>
        <v>1507</v>
      </c>
      <c r="D28" s="279"/>
      <c r="E28" s="280"/>
      <c r="F28" s="290"/>
      <c r="G28" s="291"/>
    </row>
    <row r="29" spans="1:7" s="258" customFormat="1" ht="13.5" customHeight="1">
      <c r="A29" s="951" t="s">
        <v>792</v>
      </c>
      <c r="B29" s="292" t="s">
        <v>2386</v>
      </c>
      <c r="C29" s="282">
        <f ca="1">ROUND(C21*F27*'数据-取费表'!B21/'数据-取费表'!B20,4)</f>
        <v>2.8999999999999998E-3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14140</v>
      </c>
      <c r="D31" s="274"/>
      <c r="E31" s="255"/>
      <c r="F31" s="294"/>
      <c r="G31" s="278" t="s">
        <v>2391</v>
      </c>
    </row>
    <row r="32" spans="1:7" s="252" customFormat="1" ht="16.2">
      <c r="A32" s="296" t="s">
        <v>2392</v>
      </c>
      <c r="B32" s="297"/>
      <c r="C32" s="297"/>
      <c r="D32" s="297"/>
      <c r="E32" s="297"/>
      <c r="F32" s="297"/>
      <c r="G32" s="298"/>
    </row>
    <row r="33" spans="1:7" s="258" customFormat="1" ht="13.5" customHeight="1">
      <c r="A33" s="299" t="s">
        <v>782</v>
      </c>
      <c r="B33" s="254" t="s">
        <v>2393</v>
      </c>
      <c r="C33" s="300">
        <f ca="1">SUM(C34:C38)</f>
        <v>13893</v>
      </c>
      <c r="D33" s="276"/>
      <c r="E33" s="256"/>
      <c r="F33" s="285"/>
      <c r="G33" s="278"/>
    </row>
    <row r="34" spans="1:7" s="302" customFormat="1" ht="13.5" customHeight="1">
      <c r="A34" s="951" t="s">
        <v>791</v>
      </c>
      <c r="B34" s="259" t="s">
        <v>2394</v>
      </c>
      <c r="C34" s="264">
        <f ca="1">IF(B1="",IF(F34=100%,'数据-取费表'!M16,'数据-取费表'!O16),IF(F34=100%,INDIRECT("'数据-取费表'!m"&amp;$G$1)+INDIRECT("'数据-取费表'!t"&amp;$G$1),INDIRECT("'数据-取费表'!o"&amp;$G$1)+INDIRECT("'数据-取费表'!aq"&amp;$G$1)))</f>
        <v>11824</v>
      </c>
      <c r="D34" s="261"/>
      <c r="E34" s="264"/>
      <c r="F34" s="301">
        <f ca="1">IF('数据-取费表'!B24=0,1,IF(B1="",'数据-取费表'!N16,INDIRECT("'数据-取费表'!n"&amp;$G$1)))</f>
        <v>0.95</v>
      </c>
      <c r="G34" s="263" t="s">
        <v>2395</v>
      </c>
    </row>
    <row r="35" spans="1:7" ht="13.5" customHeight="1">
      <c r="A35" s="951" t="s">
        <v>796</v>
      </c>
      <c r="B35" s="259" t="s">
        <v>2396</v>
      </c>
      <c r="C35" s="264">
        <f ca="1">ROUND(C34*F35,0)</f>
        <v>355</v>
      </c>
      <c r="D35" s="264"/>
      <c r="E35" s="264"/>
      <c r="F35" s="303">
        <f>'数据-取费表'!B33</f>
        <v>0.03</v>
      </c>
      <c r="G35" s="263" t="s">
        <v>2397</v>
      </c>
    </row>
    <row r="36" spans="1:7" ht="24">
      <c r="A36" s="951" t="s">
        <v>797</v>
      </c>
      <c r="B36" s="259" t="s">
        <v>2398</v>
      </c>
      <c r="C36" s="264">
        <f ca="1">ROUND(IF(B1="",SUMIF('数据-取费表'!C:C,"住宅",IF(F34=100%,'数据-取费表'!M:M,'数据-取费表'!O:O))*F36,IF(INDIRECT("'数据-取费表'!c"&amp;$G$1)="住宅",IF(F34=100%,INDIRECT("'数据-取费表'!m"&amp;$G$1)*F36,INDIRECT("'数据-取费表'!o"&amp;$G$1)*F36),0)),0)</f>
        <v>591</v>
      </c>
      <c r="D36" s="264"/>
      <c r="E36" s="264"/>
      <c r="F36" s="303">
        <f>'数据-取费表'!B34</f>
        <v>0.05</v>
      </c>
      <c r="G36" s="304" t="s">
        <v>2399</v>
      </c>
    </row>
    <row r="37" spans="1:7" s="302" customFormat="1" ht="13.5" customHeight="1">
      <c r="A37" s="951" t="s">
        <v>798</v>
      </c>
      <c r="B37" s="259" t="s">
        <v>2400</v>
      </c>
      <c r="C37" s="293">
        <f ca="1">ROUND(E37*D37*F34/10000,0)</f>
        <v>946</v>
      </c>
      <c r="D37" s="261">
        <f ca="1">D19</f>
        <v>49782.53</v>
      </c>
      <c r="E37" s="293">
        <f>'数据-取费表'!B35</f>
        <v>200</v>
      </c>
      <c r="F37" s="303"/>
      <c r="G37" s="305" t="s">
        <v>2401</v>
      </c>
    </row>
    <row r="38" spans="1:7" ht="13.5" customHeight="1">
      <c r="A38" s="951" t="s">
        <v>799</v>
      </c>
      <c r="B38" s="259" t="s">
        <v>2402</v>
      </c>
      <c r="C38" s="264">
        <f ca="1">ROUND(C34*F38,0)</f>
        <v>177</v>
      </c>
      <c r="D38" s="264"/>
      <c r="E38" s="264"/>
      <c r="F38" s="303">
        <f>'数据-取费表'!B36</f>
        <v>1.4999999999999999E-2</v>
      </c>
      <c r="G38" s="263" t="s">
        <v>2397</v>
      </c>
    </row>
    <row r="39" spans="1:7" s="258" customFormat="1" ht="13.5" customHeight="1">
      <c r="A39" s="299" t="s">
        <v>2403</v>
      </c>
      <c r="B39" s="254" t="s">
        <v>2404</v>
      </c>
      <c r="C39" s="276">
        <f ca="1">ROUND(C33*F20,0)</f>
        <v>278</v>
      </c>
      <c r="D39" s="276"/>
      <c r="E39" s="276"/>
      <c r="F39" s="277"/>
      <c r="G39" s="278" t="s">
        <v>2405</v>
      </c>
    </row>
    <row r="40" spans="1:7" s="258" customFormat="1" ht="13.5" customHeight="1">
      <c r="A40" s="299" t="s">
        <v>2406</v>
      </c>
      <c r="B40" s="254" t="s">
        <v>2407</v>
      </c>
      <c r="C40" s="1726">
        <f>F21</f>
        <v>0.02</v>
      </c>
      <c r="D40" s="280" t="s">
        <v>2408</v>
      </c>
      <c r="E40" s="276"/>
      <c r="F40" s="277"/>
      <c r="G40" s="278" t="s">
        <v>2409</v>
      </c>
    </row>
    <row r="41" spans="1:7" s="258" customFormat="1" ht="13.5" customHeight="1">
      <c r="A41" s="299" t="s">
        <v>2410</v>
      </c>
      <c r="B41" s="254" t="s">
        <v>2411</v>
      </c>
      <c r="C41" s="276">
        <f ca="1">ROUND(SUM(C42:C43),0)</f>
        <v>639</v>
      </c>
      <c r="D41" s="279">
        <f ca="1">C44</f>
        <v>8.9999999999999998E-4</v>
      </c>
      <c r="E41" s="280" t="s">
        <v>2408</v>
      </c>
      <c r="F41" s="281"/>
      <c r="G41" s="278" t="str">
        <f>IF('数据-取费表'!B22&lt;=1,"单利计息","复利计息")</f>
        <v>复利计息</v>
      </c>
    </row>
    <row r="42" spans="1:7" ht="13.5" customHeight="1">
      <c r="A42" s="951" t="s">
        <v>791</v>
      </c>
      <c r="B42" s="259" t="s">
        <v>2412</v>
      </c>
      <c r="C42" s="282">
        <f ca="1">ROUND(IF('数据-取费表'!B22&lt;=1,C33*F22*'数据-取费表'!B21/2,C33*(POWER((1+F22),'数据-取费表'!B21/2)-1)),0)</f>
        <v>626</v>
      </c>
      <c r="D42" s="282"/>
      <c r="E42" s="282"/>
      <c r="F42" s="283"/>
      <c r="G42" s="3201" t="s">
        <v>2413</v>
      </c>
    </row>
    <row r="43" spans="1:7" ht="13.5" customHeight="1">
      <c r="A43" s="951" t="s">
        <v>792</v>
      </c>
      <c r="B43" s="259" t="s">
        <v>2414</v>
      </c>
      <c r="C43" s="282">
        <f ca="1">ROUND(IF('数据-取费表'!B22&lt;=1,C39*F22*'数据-取费表'!B21/2,C39*(POWER((1+F22),'数据-取费表'!B21/2)-1)),0)</f>
        <v>13</v>
      </c>
      <c r="D43" s="282"/>
      <c r="E43" s="282"/>
      <c r="F43" s="283"/>
      <c r="G43" s="3202"/>
    </row>
    <row r="44" spans="1:7" ht="13.5" customHeight="1">
      <c r="A44" s="951" t="s">
        <v>793</v>
      </c>
      <c r="B44" s="259" t="s">
        <v>2415</v>
      </c>
      <c r="C44" s="282">
        <f ca="1">ROUND(IF('数据-取费表'!B22&lt;=1,C40*F22*'数据-取费表'!B21/2,C40*(POWER((1+F22),'数据-取费表'!B21/2)-1)),4)</f>
        <v>8.9999999999999998E-4</v>
      </c>
      <c r="D44" s="282"/>
      <c r="E44" s="282"/>
      <c r="F44" s="283"/>
      <c r="G44" s="3203"/>
    </row>
    <row r="45" spans="1:7" s="258" customFormat="1" ht="13.5" customHeight="1">
      <c r="A45" s="299" t="s">
        <v>2416</v>
      </c>
      <c r="B45" s="288" t="s">
        <v>2382</v>
      </c>
      <c r="C45" s="289">
        <f ca="1">C46</f>
        <v>2126</v>
      </c>
      <c r="D45" s="279">
        <f ca="1">C47</f>
        <v>3.0000000000000001E-3</v>
      </c>
      <c r="E45" s="280" t="s">
        <v>2408</v>
      </c>
      <c r="F45" s="290"/>
      <c r="G45" s="291" t="s">
        <v>2417</v>
      </c>
    </row>
    <row r="46" spans="1:7" s="258" customFormat="1" ht="13.5" customHeight="1">
      <c r="A46" s="951" t="s">
        <v>791</v>
      </c>
      <c r="B46" s="292" t="s">
        <v>2418</v>
      </c>
      <c r="C46" s="293">
        <f ca="1">ROUND((C33+C39)*F27,0)</f>
        <v>2126</v>
      </c>
      <c r="D46" s="307"/>
      <c r="E46" s="280"/>
      <c r="F46" s="290"/>
      <c r="G46" s="291"/>
    </row>
    <row r="47" spans="1:7" s="258" customFormat="1" ht="13.5" customHeight="1">
      <c r="A47" s="951" t="s">
        <v>792</v>
      </c>
      <c r="B47" s="292" t="s">
        <v>2419</v>
      </c>
      <c r="C47" s="282">
        <f ca="1">ROUND(C40*F27,4)</f>
        <v>3.0000000000000001E-3</v>
      </c>
      <c r="D47" s="307"/>
      <c r="E47" s="280"/>
      <c r="F47" s="290"/>
      <c r="G47" s="291"/>
    </row>
    <row r="48" spans="1:7" s="258" customFormat="1" ht="13.5" customHeight="1">
      <c r="A48" s="299" t="s">
        <v>2381</v>
      </c>
      <c r="B48" s="254" t="s">
        <v>2420</v>
      </c>
      <c r="C48" s="1726">
        <f>ROUND(F30/(1+'数据-取费表'!C42),4)</f>
        <v>5.33E-2</v>
      </c>
      <c r="D48" s="280" t="s">
        <v>2408</v>
      </c>
      <c r="E48" s="276"/>
      <c r="F48" s="281"/>
      <c r="G48" s="278" t="s">
        <v>2421</v>
      </c>
    </row>
    <row r="49" spans="1:7" ht="16.5" customHeight="1">
      <c r="A49" s="299" t="s">
        <v>2387</v>
      </c>
      <c r="B49" s="254" t="s">
        <v>2422</v>
      </c>
      <c r="C49" s="276">
        <f ca="1">ROUND((C33+C39+C41+C45)/(1-C40-D41-D45-C48),0)</f>
        <v>18353</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18353</v>
      </c>
      <c r="D51" s="276"/>
      <c r="E51" s="276"/>
      <c r="F51" s="308"/>
      <c r="G51" s="278" t="s">
        <v>2429</v>
      </c>
    </row>
    <row r="52" spans="1:7" s="252" customFormat="1" ht="16.8" thickBot="1">
      <c r="A52" s="309" t="s">
        <v>2430</v>
      </c>
      <c r="B52" s="310"/>
      <c r="C52" s="311">
        <f ca="1">C31+C51</f>
        <v>32493</v>
      </c>
      <c r="D52" s="310"/>
      <c r="E52" s="310"/>
      <c r="F52" s="310"/>
      <c r="G52" s="312"/>
    </row>
    <row r="55" spans="1:7" ht="15">
      <c r="B55" s="314" t="s">
        <v>2431</v>
      </c>
      <c r="C55" s="315"/>
    </row>
    <row r="56" spans="1:7">
      <c r="B56" s="317" t="s">
        <v>1513</v>
      </c>
      <c r="C56" s="319">
        <f ca="1">1-C57</f>
        <v>0.43500000000000005</v>
      </c>
    </row>
    <row r="57" spans="1:7">
      <c r="B57" s="317" t="s">
        <v>1514</v>
      </c>
      <c r="C57" s="318">
        <f ca="1">ROUND(C51/C52,3)</f>
        <v>0.56499999999999995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2330</v>
      </c>
      <c r="B1" s="1935"/>
      <c r="C1" s="2550" t="s">
        <v>2432</v>
      </c>
      <c r="D1" s="242"/>
      <c r="E1" s="242"/>
      <c r="F1" s="242"/>
      <c r="G1" s="1379">
        <f>MATCH(B1,'数据-取费表'!A6:A16,0)+5</f>
        <v>9</v>
      </c>
      <c r="H1" s="1282" t="str">
        <f>IF(ISERROR(FIND("住宅",B1)),"非住宅","住宅")</f>
        <v>非住宅</v>
      </c>
    </row>
    <row r="2" spans="1:8" s="244" customFormat="1" ht="18" customHeight="1">
      <c r="A2" s="245" t="s">
        <v>2331</v>
      </c>
      <c r="B2" s="246">
        <f ca="1">ROUND(IF(D2="——",C52/10000,C52/10000-E2),0)</f>
        <v>21073</v>
      </c>
      <c r="C2" s="243" t="s">
        <v>2332</v>
      </c>
      <c r="D2" s="2544" t="s">
        <v>70</v>
      </c>
      <c r="E2" s="1439" t="e">
        <f ca="1">SUMIF(INDIRECT("'"&amp;G2&amp;"'"&amp;"!A:A"),"承租人权益价值",INDIRECT("'"&amp;G2&amp;"'"&amp;"!c:c"))</f>
        <v>#REF!</v>
      </c>
      <c r="F2" s="2545" t="s">
        <v>2332</v>
      </c>
      <c r="G2" s="2546"/>
    </row>
    <row r="3" spans="1:8" s="244" customFormat="1" ht="18" customHeight="1" thickBot="1">
      <c r="A3" s="247" t="s">
        <v>2333</v>
      </c>
      <c r="B3" s="248">
        <f ca="1">ROUND(B2*10000/(IF(B1="",'数据-汇总表'!E3,INDIRECT("'数据-取费表'!k"&amp;$G$1))),0)</f>
        <v>4233</v>
      </c>
      <c r="C3" s="243" t="s">
        <v>2334</v>
      </c>
      <c r="D3" s="243"/>
      <c r="E3" s="243"/>
      <c r="F3" s="243"/>
      <c r="G3" s="243"/>
    </row>
    <row r="4" spans="1:8" s="252" customFormat="1" ht="16.2">
      <c r="A4" s="249" t="s">
        <v>2335</v>
      </c>
      <c r="B4" s="250"/>
      <c r="C4" s="250"/>
      <c r="D4" s="250"/>
      <c r="E4" s="250"/>
      <c r="F4" s="250"/>
      <c r="G4" s="251"/>
    </row>
    <row r="5" spans="1:8" s="258" customFormat="1" ht="13.5" customHeight="1">
      <c r="A5" s="299" t="s">
        <v>2336</v>
      </c>
      <c r="B5" s="254" t="s">
        <v>2337</v>
      </c>
      <c r="C5" s="255">
        <f ca="1">C6+C7+C8</f>
        <v>2489127</v>
      </c>
      <c r="D5" s="255" t="s">
        <v>2338</v>
      </c>
      <c r="E5" s="256" t="s">
        <v>2339</v>
      </c>
      <c r="F5" s="256" t="s">
        <v>2340</v>
      </c>
      <c r="G5" s="257"/>
    </row>
    <row r="6" spans="1:8" s="258" customFormat="1" ht="13.5" customHeight="1">
      <c r="A6" s="949" t="s">
        <v>2341</v>
      </c>
      <c r="B6" s="259" t="s">
        <v>2342</v>
      </c>
      <c r="C6" s="260"/>
      <c r="D6" s="261"/>
      <c r="E6" s="262"/>
      <c r="F6" s="262"/>
      <c r="G6" s="263"/>
    </row>
    <row r="7" spans="1:8" s="258" customFormat="1" ht="13.5" customHeight="1">
      <c r="A7" s="949" t="s">
        <v>2343</v>
      </c>
      <c r="B7" s="259" t="s">
        <v>2344</v>
      </c>
      <c r="C7" s="264">
        <f>ROUND(C6*F7,0)</f>
        <v>0</v>
      </c>
      <c r="D7" s="264"/>
      <c r="E7" s="262"/>
      <c r="F7" s="265">
        <f>'数据-取费表'!B48+'数据-取费表'!B49</f>
        <v>3.0499999999999999E-2</v>
      </c>
      <c r="G7" s="263"/>
    </row>
    <row r="8" spans="1:8" s="267" customFormat="1">
      <c r="A8" s="949" t="s">
        <v>2345</v>
      </c>
      <c r="B8" s="259" t="s">
        <v>2346</v>
      </c>
      <c r="C8" s="264">
        <f ca="1">IF(G8="已包含在土地购买价格中",0,C9+C10)</f>
        <v>2489127</v>
      </c>
      <c r="D8" s="266"/>
      <c r="E8" s="264"/>
      <c r="F8" s="265"/>
      <c r="G8" s="2547"/>
    </row>
    <row r="9" spans="1:8" s="258" customFormat="1" ht="13.5" customHeight="1">
      <c r="A9" s="950" t="s">
        <v>800</v>
      </c>
      <c r="B9" s="268" t="s">
        <v>2347</v>
      </c>
      <c r="C9" s="269">
        <f ca="1">ROUND(D9*E9,0)</f>
        <v>2489127</v>
      </c>
      <c r="D9" s="1032">
        <f ca="1">IF(B1="",'数据-汇总表'!E5,IF(INDIRECT("'数据-取费表'!c"&amp;$G$1)="住宅",INDIRECT("'数据-取费表'!k"&amp;$G$1),0))</f>
        <v>49782.53</v>
      </c>
      <c r="E9" s="269">
        <f>'数据-取费表'!B27</f>
        <v>50</v>
      </c>
      <c r="F9" s="265"/>
      <c r="G9" s="270"/>
    </row>
    <row r="10" spans="1:8" s="258" customFormat="1" ht="13.5" customHeight="1">
      <c r="A10" s="950" t="s">
        <v>801</v>
      </c>
      <c r="B10" s="268" t="s">
        <v>2349</v>
      </c>
      <c r="C10" s="269">
        <f ca="1">ROUND(D10*E10,0)</f>
        <v>0</v>
      </c>
      <c r="D10" s="1032">
        <f ca="1">IF(B1="",'数据-汇总表'!E6,IF(INDIRECT("'数据-取费表'!c"&amp;$G$1)="住宅",INDIRECT("'数据-取费表'!s"&amp;$G$1),INDIRECT("'数据-取费表'!k"&amp;$G$1)+INDIRECT("'数据-取费表'!s"&amp;$G$1)))</f>
        <v>0</v>
      </c>
      <c r="E10" s="269">
        <f>'数据-取费表'!B28</f>
        <v>90</v>
      </c>
      <c r="F10" s="265"/>
      <c r="G10" s="270"/>
    </row>
    <row r="11" spans="1:8" s="258" customFormat="1" ht="13.5" hidden="1" customHeight="1">
      <c r="A11" s="271" t="s">
        <v>7</v>
      </c>
      <c r="B11" s="259" t="s">
        <v>2350</v>
      </c>
      <c r="C11" s="255"/>
      <c r="D11" s="1034"/>
      <c r="E11" s="262"/>
      <c r="F11" s="262"/>
      <c r="G11" s="263"/>
    </row>
    <row r="12" spans="1:8" s="258" customFormat="1" ht="13.5" hidden="1" customHeight="1">
      <c r="A12" s="271" t="s">
        <v>8</v>
      </c>
      <c r="B12" s="259" t="s">
        <v>2433</v>
      </c>
      <c r="C12" s="255">
        <v>0</v>
      </c>
      <c r="D12" s="1034"/>
      <c r="E12" s="272"/>
      <c r="F12" s="265">
        <v>3.0499999999999999E-2</v>
      </c>
      <c r="G12" s="263"/>
    </row>
    <row r="13" spans="1:8" s="258" customFormat="1" ht="13.5" hidden="1" customHeight="1">
      <c r="A13" s="271" t="s">
        <v>9</v>
      </c>
      <c r="B13" s="259" t="s">
        <v>2434</v>
      </c>
      <c r="C13" s="255"/>
      <c r="D13" s="1034"/>
      <c r="E13" s="262"/>
      <c r="F13" s="262"/>
      <c r="G13" s="263"/>
    </row>
    <row r="14" spans="1:8" s="258" customFormat="1" ht="13.5" hidden="1" customHeight="1">
      <c r="A14" s="271" t="s">
        <v>10</v>
      </c>
      <c r="B14" s="259" t="s">
        <v>2346</v>
      </c>
      <c r="C14" s="255"/>
      <c r="D14" s="1034"/>
      <c r="E14" s="262"/>
      <c r="F14" s="262"/>
      <c r="G14" s="263" t="s">
        <v>2435</v>
      </c>
    </row>
    <row r="15" spans="1:8" s="258" customFormat="1" ht="13.5" hidden="1" customHeight="1">
      <c r="A15" s="271" t="s">
        <v>11</v>
      </c>
      <c r="B15" s="259" t="s">
        <v>2436</v>
      </c>
      <c r="C15" s="264"/>
      <c r="D15" s="1034"/>
      <c r="E15" s="262"/>
      <c r="F15" s="262"/>
      <c r="G15" s="263" t="s">
        <v>2437</v>
      </c>
    </row>
    <row r="16" spans="1:8" s="258" customFormat="1" ht="13.5" hidden="1" customHeight="1">
      <c r="A16" s="271" t="s">
        <v>12</v>
      </c>
      <c r="B16" s="259" t="s">
        <v>2346</v>
      </c>
      <c r="C16" s="264"/>
      <c r="D16" s="1034"/>
      <c r="E16" s="262"/>
      <c r="F16" s="262"/>
      <c r="G16" s="263"/>
    </row>
    <row r="17" spans="1:7" s="258" customFormat="1" ht="13.5" hidden="1" customHeight="1">
      <c r="A17" s="271" t="s">
        <v>13</v>
      </c>
      <c r="B17" s="259" t="s">
        <v>2438</v>
      </c>
      <c r="C17" s="273"/>
      <c r="D17" s="1035"/>
      <c r="E17" s="273"/>
      <c r="F17" s="273"/>
      <c r="G17" s="263" t="s">
        <v>2437</v>
      </c>
    </row>
    <row r="18" spans="1:7" s="258" customFormat="1" ht="13.5" hidden="1" customHeight="1">
      <c r="A18" s="271" t="s">
        <v>14</v>
      </c>
      <c r="B18" s="259" t="s">
        <v>2439</v>
      </c>
      <c r="C18" s="264">
        <v>0</v>
      </c>
      <c r="D18" s="1034"/>
      <c r="E18" s="262"/>
      <c r="F18" s="265">
        <v>3.0499999999999999E-2</v>
      </c>
      <c r="G18" s="263" t="s">
        <v>2440</v>
      </c>
    </row>
    <row r="19" spans="1:7" s="267" customFormat="1" ht="13.5" customHeight="1">
      <c r="A19" s="299" t="s">
        <v>2441</v>
      </c>
      <c r="B19" s="254" t="s">
        <v>2442</v>
      </c>
      <c r="C19" s="255">
        <f ca="1">IF(G19="已包含在土地取得成本中","0",ROUND(D19*E19,0))</f>
        <v>9956506</v>
      </c>
      <c r="D19" s="1036">
        <f ca="1">D9+D10</f>
        <v>49782.53</v>
      </c>
      <c r="E19" s="255">
        <f>'数据-取费表'!B31</f>
        <v>200</v>
      </c>
      <c r="F19" s="275"/>
      <c r="G19" s="2547"/>
    </row>
    <row r="20" spans="1:7" s="258" customFormat="1" ht="13.5" customHeight="1">
      <c r="A20" s="299" t="s">
        <v>2443</v>
      </c>
      <c r="B20" s="254" t="s">
        <v>2444</v>
      </c>
      <c r="C20" s="276">
        <f ca="1">ROUND((C5+C19)*F20,0)</f>
        <v>248913</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0">
        <f ca="1">ROUND(SUM(C23:C25),0)</f>
        <v>1222238</v>
      </c>
      <c r="D22" s="279">
        <f ca="1">C26</f>
        <v>1E-3</v>
      </c>
      <c r="E22" s="280" t="s">
        <v>2448</v>
      </c>
      <c r="F22" s="281">
        <f ca="1">'数据-取费表'!B40</f>
        <v>4.7500000000000001E-2</v>
      </c>
      <c r="G22" s="278" t="str">
        <f>IF('数据-取费表'!B22&lt;=1,"单利计息","复利计息")</f>
        <v>复利计息</v>
      </c>
    </row>
    <row r="23" spans="1:7" s="258" customFormat="1" ht="13.5" customHeight="1">
      <c r="A23" s="951" t="s">
        <v>2341</v>
      </c>
      <c r="B23" s="259" t="s">
        <v>2452</v>
      </c>
      <c r="C23" s="1381">
        <f ca="1">ROUND(IF('数据-取费表'!B22&lt;=1,C5*F22*'数据-取费表'!B22,C5*(POWER((1+F22),'数据-取费表'!B22)-1)),0)</f>
        <v>242083</v>
      </c>
      <c r="D23" s="282"/>
      <c r="E23" s="282"/>
      <c r="F23" s="283"/>
      <c r="G23" s="284" t="s">
        <v>2453</v>
      </c>
    </row>
    <row r="24" spans="1:7" s="258" customFormat="1" ht="13.5" customHeight="1">
      <c r="A24" s="951" t="s">
        <v>2343</v>
      </c>
      <c r="B24" s="259" t="s">
        <v>2454</v>
      </c>
      <c r="C24" s="1381">
        <f ca="1">ROUND(IF('数据-取费表'!B22&lt;=1,C19*F22*('数据-取费表'!B19/2+'数据-取费表'!B20),C19*(POWER((1+F22),('数据-取费表'!B19/2+'数据-取费表'!B20))-1)),0)</f>
        <v>968332</v>
      </c>
      <c r="D24" s="282"/>
      <c r="E24" s="282"/>
      <c r="F24" s="283"/>
      <c r="G24" s="284" t="s">
        <v>2455</v>
      </c>
    </row>
    <row r="25" spans="1:7" s="258" customFormat="1" ht="24">
      <c r="A25" s="951" t="s">
        <v>2345</v>
      </c>
      <c r="B25" s="259" t="s">
        <v>2456</v>
      </c>
      <c r="C25" s="1381">
        <f ca="1">ROUND(IF('数据-取费表'!B22&lt;=1,C20*F22*'数据-取费表'!B22/2,C20*(POWER((1+F22),'数据-取费表'!B22/2)-1)),0)</f>
        <v>11823</v>
      </c>
      <c r="D25" s="282"/>
      <c r="E25" s="285"/>
      <c r="F25" s="283"/>
      <c r="G25" s="286" t="s">
        <v>2457</v>
      </c>
    </row>
    <row r="26" spans="1:7" s="258" customFormat="1">
      <c r="A26" s="951" t="s">
        <v>795</v>
      </c>
      <c r="B26" s="259" t="s">
        <v>2380</v>
      </c>
      <c r="C26" s="282">
        <f ca="1">ROUND(IF('数据-取费表'!B22&lt;=1,F21*F22*'数据-取费表'!B22/2,F21*(POWER((1+F22),'数据-取费表'!B22/2)-1)),4)</f>
        <v>1E-3</v>
      </c>
      <c r="D26" s="282"/>
      <c r="E26" s="285"/>
      <c r="F26" s="283"/>
      <c r="G26" s="287"/>
    </row>
    <row r="27" spans="1:7" s="258" customFormat="1" ht="26.4">
      <c r="A27" s="299" t="s">
        <v>2381</v>
      </c>
      <c r="B27" s="288" t="s">
        <v>2382</v>
      </c>
      <c r="C27" s="289">
        <f ca="1">C28</f>
        <v>1904182</v>
      </c>
      <c r="D27" s="279">
        <f ca="1">C29</f>
        <v>3.0000000000000001E-3</v>
      </c>
      <c r="E27" s="280" t="s">
        <v>2383</v>
      </c>
      <c r="F27" s="290">
        <f ca="1">IF(B1="",'数据-取费表'!Q16,INDIRECT("'数据-取费表'!q"&amp;$G$1))</f>
        <v>0.15</v>
      </c>
      <c r="G27" s="291" t="s">
        <v>2384</v>
      </c>
    </row>
    <row r="28" spans="1:7" s="258" customFormat="1" ht="13.5" customHeight="1">
      <c r="A28" s="951" t="s">
        <v>791</v>
      </c>
      <c r="B28" s="292" t="s">
        <v>2385</v>
      </c>
      <c r="C28" s="293">
        <f ca="1">ROUND((C5+C19+C20)*F27,0)</f>
        <v>1904182</v>
      </c>
      <c r="D28" s="279"/>
      <c r="E28" s="280"/>
      <c r="F28" s="290"/>
      <c r="G28" s="291"/>
    </row>
    <row r="29" spans="1:7" s="258" customFormat="1" ht="13.5" customHeight="1">
      <c r="A29" s="951" t="s">
        <v>792</v>
      </c>
      <c r="B29" s="292" t="s">
        <v>2386</v>
      </c>
      <c r="C29" s="282">
        <f ca="1">ROUND(C21*F27,4)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17146381</v>
      </c>
      <c r="D31" s="274"/>
      <c r="E31" s="255"/>
      <c r="F31" s="294"/>
      <c r="G31" s="278" t="s">
        <v>2391</v>
      </c>
    </row>
    <row r="32" spans="1:7" s="252" customFormat="1" ht="16.2">
      <c r="A32" s="296" t="s">
        <v>2458</v>
      </c>
      <c r="B32" s="297"/>
      <c r="C32" s="297"/>
      <c r="D32" s="297"/>
      <c r="E32" s="297"/>
      <c r="F32" s="297"/>
      <c r="G32" s="298"/>
    </row>
    <row r="33" spans="1:7" s="258" customFormat="1" ht="13.5" customHeight="1">
      <c r="A33" s="299" t="s">
        <v>782</v>
      </c>
      <c r="B33" s="254" t="s">
        <v>2459</v>
      </c>
      <c r="C33" s="300">
        <f ca="1">SUM(C34:C38)</f>
        <v>146236182</v>
      </c>
      <c r="D33" s="276"/>
      <c r="E33" s="256"/>
      <c r="F33" s="285"/>
      <c r="G33" s="278"/>
    </row>
    <row r="34" spans="1:7" s="302" customFormat="1" ht="13.5" customHeight="1">
      <c r="A34" s="951" t="s">
        <v>791</v>
      </c>
      <c r="B34" s="259" t="s">
        <v>2394</v>
      </c>
      <c r="C34" s="264">
        <f ca="1">ROUND(IF(B1="",SUMPRODUCT('数据-取费表'!K6:K14,'数据-取费表'!L6:L14),INDIRECT("'数据-取费表'!l"&amp;$G$1)*INDIRECT("'数据-取费表'!k"&amp;$G$1)+'数据-取费表'!L14*INDIRECT("'数据-取费表'!S"&amp;$G$1)),0)</f>
        <v>124456325</v>
      </c>
      <c r="D34" s="261"/>
      <c r="E34" s="264"/>
      <c r="F34" s="301"/>
      <c r="G34" s="263"/>
    </row>
    <row r="35" spans="1:7" ht="13.5" customHeight="1">
      <c r="A35" s="951" t="s">
        <v>796</v>
      </c>
      <c r="B35" s="259" t="s">
        <v>2396</v>
      </c>
      <c r="C35" s="264">
        <f ca="1">ROUND(C34*F35,0)</f>
        <v>3733690</v>
      </c>
      <c r="D35" s="264"/>
      <c r="E35" s="264"/>
      <c r="F35" s="303">
        <f>'数据-取费表'!B33</f>
        <v>0.03</v>
      </c>
      <c r="G35" s="263" t="s">
        <v>2397</v>
      </c>
    </row>
    <row r="36" spans="1:7" ht="24">
      <c r="A36" s="951" t="s">
        <v>797</v>
      </c>
      <c r="B36" s="259" t="s">
        <v>2398</v>
      </c>
      <c r="C36" s="264">
        <f ca="1">ROUND(IF(B1="",SUM('数据-取费表'!AP6:AP13)*F36,IF(INDIRECT("'数据-取费表'!c"&amp;$G$1)="住宅",INDIRECT("'数据-取费表'!k"&amp;$G$1)*INDIRECT("'数据-取费表'!l"&amp;$G$1)*F36,0)),0)</f>
        <v>6222816</v>
      </c>
      <c r="D36" s="264"/>
      <c r="E36" s="264"/>
      <c r="F36" s="303">
        <f>'数据-取费表'!B34</f>
        <v>0.05</v>
      </c>
      <c r="G36" s="304" t="s">
        <v>2399</v>
      </c>
    </row>
    <row r="37" spans="1:7" s="302" customFormat="1" ht="13.5" customHeight="1">
      <c r="A37" s="951" t="s">
        <v>798</v>
      </c>
      <c r="B37" s="259" t="s">
        <v>2400</v>
      </c>
      <c r="C37" s="293">
        <f ca="1">ROUND(E37*D37,0)</f>
        <v>9956506</v>
      </c>
      <c r="D37" s="261">
        <f ca="1">D19</f>
        <v>49782.53</v>
      </c>
      <c r="E37" s="293">
        <f>'数据-取费表'!B35</f>
        <v>200</v>
      </c>
      <c r="F37" s="303"/>
      <c r="G37" s="305"/>
    </row>
    <row r="38" spans="1:7" ht="13.5" customHeight="1">
      <c r="A38" s="951" t="s">
        <v>799</v>
      </c>
      <c r="B38" s="259" t="s">
        <v>2402</v>
      </c>
      <c r="C38" s="264">
        <f ca="1">ROUND(C34*F38,0)</f>
        <v>1866845</v>
      </c>
      <c r="D38" s="264"/>
      <c r="E38" s="264"/>
      <c r="F38" s="303">
        <f>'数据-取费表'!B36</f>
        <v>1.4999999999999999E-2</v>
      </c>
      <c r="G38" s="263" t="s">
        <v>2397</v>
      </c>
    </row>
    <row r="39" spans="1:7" s="258" customFormat="1" ht="13.5" customHeight="1">
      <c r="A39" s="299" t="s">
        <v>2403</v>
      </c>
      <c r="B39" s="254" t="s">
        <v>2404</v>
      </c>
      <c r="C39" s="276">
        <f ca="1">ROUND(C33*F20,0)</f>
        <v>2924724</v>
      </c>
      <c r="D39" s="276"/>
      <c r="E39" s="276"/>
      <c r="F39" s="277"/>
      <c r="G39" s="278" t="s">
        <v>2405</v>
      </c>
    </row>
    <row r="40" spans="1:7" s="258" customFormat="1" ht="13.5" customHeight="1">
      <c r="A40" s="299" t="s">
        <v>2406</v>
      </c>
      <c r="B40" s="254" t="s">
        <v>2407</v>
      </c>
      <c r="C40" s="1726">
        <f>F21</f>
        <v>0.02</v>
      </c>
      <c r="D40" s="280" t="s">
        <v>2408</v>
      </c>
      <c r="E40" s="276"/>
      <c r="F40" s="277"/>
      <c r="G40" s="278" t="s">
        <v>2409</v>
      </c>
    </row>
    <row r="41" spans="1:7" s="258" customFormat="1" ht="13.5" customHeight="1">
      <c r="A41" s="299" t="s">
        <v>2410</v>
      </c>
      <c r="B41" s="254" t="s">
        <v>2411</v>
      </c>
      <c r="C41" s="276">
        <f ca="1">ROUND(SUM(C42:C43),0)</f>
        <v>7085143</v>
      </c>
      <c r="D41" s="279">
        <f ca="1">C44</f>
        <v>1E-3</v>
      </c>
      <c r="E41" s="280" t="s">
        <v>2408</v>
      </c>
      <c r="F41" s="281"/>
      <c r="G41" s="278" t="str">
        <f>IF('数据-取费表'!B22&lt;=1,"单利计息","复利计息")</f>
        <v>复利计息</v>
      </c>
    </row>
    <row r="42" spans="1:7" ht="13.5" customHeight="1">
      <c r="A42" s="951" t="s">
        <v>791</v>
      </c>
      <c r="B42" s="259" t="s">
        <v>2412</v>
      </c>
      <c r="C42" s="282">
        <f ca="1">ROUND(IF('数据-取费表'!B22&lt;=1,C33*F22*'数据-取费表'!B20/2,C33*(POWER((1+F22),'数据-取费表'!B20/2)-1)),0)</f>
        <v>6946219</v>
      </c>
      <c r="D42" s="282"/>
      <c r="E42" s="282"/>
      <c r="F42" s="283"/>
      <c r="G42" s="3201" t="s">
        <v>2460</v>
      </c>
    </row>
    <row r="43" spans="1:7" ht="13.5" customHeight="1">
      <c r="A43" s="951" t="s">
        <v>792</v>
      </c>
      <c r="B43" s="259" t="s">
        <v>2414</v>
      </c>
      <c r="C43" s="282">
        <f ca="1">ROUND(IF('数据-取费表'!B22&lt;=1,C39*F22*'数据-取费表'!B20/2,C39*(POWER((1+F22),'数据-取费表'!B20/2)-1)),0)</f>
        <v>138924</v>
      </c>
      <c r="D43" s="282"/>
      <c r="E43" s="282"/>
      <c r="F43" s="283"/>
      <c r="G43" s="3202"/>
    </row>
    <row r="44" spans="1:7" ht="13.5" customHeight="1">
      <c r="A44" s="951" t="s">
        <v>793</v>
      </c>
      <c r="B44" s="259" t="s">
        <v>2415</v>
      </c>
      <c r="C44" s="282">
        <f ca="1">ROUND(IF('数据-取费表'!B22&lt;=1,C40*F22*'数据-取费表'!B20/2,C40*(POWER((1+F22),'数据-取费表'!B20/2)-1)),4)</f>
        <v>1E-3</v>
      </c>
      <c r="D44" s="282"/>
      <c r="E44" s="282"/>
      <c r="F44" s="283"/>
      <c r="G44" s="3203"/>
    </row>
    <row r="45" spans="1:7" s="258" customFormat="1" ht="13.5" customHeight="1">
      <c r="A45" s="299" t="s">
        <v>2416</v>
      </c>
      <c r="B45" s="288" t="s">
        <v>2382</v>
      </c>
      <c r="C45" s="289">
        <f ca="1">C46</f>
        <v>22374136</v>
      </c>
      <c r="D45" s="279">
        <f ca="1">C47</f>
        <v>3.0000000000000001E-3</v>
      </c>
      <c r="E45" s="280" t="s">
        <v>2408</v>
      </c>
      <c r="F45" s="290"/>
      <c r="G45" s="291" t="s">
        <v>2417</v>
      </c>
    </row>
    <row r="46" spans="1:7" s="258" customFormat="1" ht="13.5" customHeight="1">
      <c r="A46" s="951" t="s">
        <v>791</v>
      </c>
      <c r="B46" s="292" t="s">
        <v>2418</v>
      </c>
      <c r="C46" s="293">
        <f ca="1">ROUND((C33+C39)*F27,0)</f>
        <v>22374136</v>
      </c>
      <c r="D46" s="307"/>
      <c r="E46" s="280"/>
      <c r="F46" s="290"/>
      <c r="G46" s="291"/>
    </row>
    <row r="47" spans="1:7" s="258" customFormat="1" ht="13.5" customHeight="1">
      <c r="A47" s="951" t="s">
        <v>792</v>
      </c>
      <c r="B47" s="292" t="s">
        <v>2419</v>
      </c>
      <c r="C47" s="282">
        <f ca="1">ROUND(C40*F27,4)</f>
        <v>3.0000000000000001E-3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193584247</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193584247</v>
      </c>
      <c r="D51" s="276"/>
      <c r="E51" s="276"/>
      <c r="F51" s="308"/>
      <c r="G51" s="278" t="s">
        <v>2429</v>
      </c>
    </row>
    <row r="52" spans="1:7" s="252" customFormat="1" ht="16.8" thickBot="1">
      <c r="A52" s="309" t="s">
        <v>2430</v>
      </c>
      <c r="B52" s="310"/>
      <c r="C52" s="311">
        <f ca="1">C31+C51</f>
        <v>210730628</v>
      </c>
      <c r="D52" s="310"/>
      <c r="E52" s="310"/>
      <c r="F52" s="310"/>
      <c r="G52" s="312"/>
    </row>
    <row r="55" spans="1:7" ht="15">
      <c r="B55" s="314" t="s">
        <v>2431</v>
      </c>
      <c r="C55" s="315"/>
    </row>
    <row r="56" spans="1:7">
      <c r="B56" s="317" t="s">
        <v>1513</v>
      </c>
      <c r="C56" s="319">
        <f ca="1">1-C57</f>
        <v>8.0999999999999961E-2</v>
      </c>
    </row>
    <row r="57" spans="1:7">
      <c r="B57" s="317" t="s">
        <v>1514</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O13" sqref="O12:O13"/>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2463</v>
      </c>
      <c r="B1" s="1579"/>
      <c r="C1" s="1580"/>
      <c r="D1" s="1578"/>
      <c r="E1" s="320"/>
      <c r="F1" s="320"/>
      <c r="G1" s="1579"/>
      <c r="H1" s="320"/>
      <c r="I1" s="320"/>
      <c r="J1" s="320"/>
      <c r="K1" s="320">
        <f>MATCH(C1,'数据-取费表'!A6:A16,0)+5</f>
        <v>9</v>
      </c>
    </row>
    <row r="2" spans="1:33" ht="18" customHeight="1">
      <c r="A2" s="245" t="s">
        <v>2331</v>
      </c>
      <c r="B2" s="248">
        <f ca="1">C32</f>
        <v>38377</v>
      </c>
      <c r="C2" s="320" t="s">
        <v>2464</v>
      </c>
      <c r="D2" s="320"/>
      <c r="E2" s="320"/>
      <c r="F2" s="320"/>
      <c r="G2" s="320"/>
      <c r="H2" s="320"/>
      <c r="I2" s="320"/>
      <c r="J2" s="320"/>
      <c r="K2" s="320"/>
    </row>
    <row r="3" spans="1:33" ht="18" customHeight="1" thickBot="1">
      <c r="A3" s="247" t="s">
        <v>2333</v>
      </c>
      <c r="B3" s="248">
        <f ca="1">ROUND(B2*10000/IF(C1="",'数据-汇总表'!E3,INDIRECT("'数据-取费表'!K"&amp;$K$1)),0)</f>
        <v>7709</v>
      </c>
      <c r="C3" s="320" t="s">
        <v>2465</v>
      </c>
      <c r="D3" s="320"/>
      <c r="E3" s="320"/>
      <c r="F3" s="320"/>
      <c r="G3" s="320"/>
      <c r="H3" s="320"/>
      <c r="I3" s="320"/>
      <c r="J3" s="320"/>
      <c r="K3" s="320"/>
    </row>
    <row r="4" spans="1:33" s="956" customFormat="1" ht="16.5" customHeight="1">
      <c r="A4" s="953" t="s">
        <v>2466</v>
      </c>
      <c r="B4" s="954"/>
      <c r="C4" s="996">
        <f ca="1">SUM(C8:K8)</f>
        <v>43182</v>
      </c>
      <c r="D4" s="954"/>
      <c r="E4" s="954"/>
      <c r="F4" s="954"/>
      <c r="G4" s="954"/>
      <c r="H4" s="954"/>
      <c r="I4" s="954"/>
      <c r="J4" s="954"/>
      <c r="K4" s="955"/>
    </row>
    <row r="5" spans="1:33" s="960" customFormat="1" ht="14.4">
      <c r="A5" s="957" t="s">
        <v>2467</v>
      </c>
      <c r="B5" s="958" t="s">
        <v>2468</v>
      </c>
      <c r="C5" s="2551" t="s">
        <v>3055</v>
      </c>
      <c r="D5" s="2551" t="s">
        <v>3062</v>
      </c>
      <c r="E5" s="2551" t="s">
        <v>3064</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2969">
        <f>[1]结果表!$G$20</f>
        <v>8674</v>
      </c>
      <c r="D6" s="962">
        <f ca="1">'收益法-商业（1层）'!B3</f>
        <v>0</v>
      </c>
      <c r="E6" s="962">
        <f ca="1">'收益法-商业1拖2'!B3</f>
        <v>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49782.53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2472</v>
      </c>
      <c r="B8" s="177" t="s">
        <v>2473</v>
      </c>
      <c r="C8" s="2969">
        <f ca="1">[2]结果表!$H$118</f>
        <v>43182</v>
      </c>
      <c r="D8" s="997">
        <f ca="1">'收益法-商业（1层）'!B2</f>
        <v>0</v>
      </c>
      <c r="E8" s="997">
        <f ca="1">'收益法-商业1拖2'!B2</f>
        <v>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3">
        <f ca="1">IF(C1="",'数据-取费表'!P16,INDIRECT("'数据-取费表'!p"&amp;$K$1)+INDIRECT("'数据-取费表'!ar"&amp;$K$1))</f>
        <v>622</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1335</v>
      </c>
      <c r="B12" s="972" t="s">
        <v>2482</v>
      </c>
      <c r="C12" s="24">
        <f ca="1">ROUND(C11*F12,0)</f>
        <v>19</v>
      </c>
      <c r="D12" s="973"/>
      <c r="E12" s="375"/>
      <c r="F12" s="976">
        <f>'数据-取费表'!B33</f>
        <v>0.03</v>
      </c>
      <c r="G12" s="8" t="s">
        <v>2483</v>
      </c>
      <c r="H12" s="968"/>
      <c r="I12" s="968"/>
      <c r="J12" s="968"/>
      <c r="K12" s="969"/>
    </row>
    <row r="13" spans="1:33" s="975" customFormat="1" ht="13.5" customHeight="1">
      <c r="A13" s="971" t="s">
        <v>1336</v>
      </c>
      <c r="B13" s="972" t="s">
        <v>2484</v>
      </c>
      <c r="C13" s="24">
        <f ca="1">ROUND(IF(C1="",SUMIF('数据-取费表'!C:C,"住宅",'数据-取费表'!P:P)*F13,IF(INDIRECT("'数据-取费表'!c"&amp;$K$1)="住宅",INDIRECT("'数据-取费表'!P"&amp;$K$1)*F13,0)),0)</f>
        <v>31</v>
      </c>
      <c r="D13" s="1033"/>
      <c r="E13" s="375"/>
      <c r="F13" s="976">
        <f>'数据-取费表'!B34</f>
        <v>0.05</v>
      </c>
      <c r="G13" s="8" t="s">
        <v>2485</v>
      </c>
      <c r="H13" s="968"/>
      <c r="I13" s="968"/>
      <c r="J13" s="968"/>
      <c r="K13" s="969"/>
    </row>
    <row r="14" spans="1:33" s="977" customFormat="1" ht="13.5" customHeight="1">
      <c r="A14" s="971" t="s">
        <v>1337</v>
      </c>
      <c r="B14" s="972" t="s">
        <v>2486</v>
      </c>
      <c r="C14" s="24">
        <f ca="1">ROUND(D14*E14*F11/10000,0)</f>
        <v>50</v>
      </c>
      <c r="D14" s="1033">
        <f ca="1">IF(C1="",'数据-汇总表'!E3,INDIRECT("'数据-取费表'!K"&amp;$K$1)+INDIRECT("'数据-取费表'!S"&amp;$K$1))</f>
        <v>49782.53</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9</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731</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49782.53</v>
      </c>
      <c r="E17" s="24">
        <f>'数据-取费表'!B32</f>
        <v>0</v>
      </c>
      <c r="F17" s="978"/>
      <c r="G17" s="140" t="s">
        <v>2492</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4">
        <f ca="1">C19+C20-IF(C1="",'数据-取费表'!B29,IF(G18="已全部缴纳",C19+C20,H18))</f>
        <v>0</v>
      </c>
      <c r="D18" s="1033"/>
      <c r="E18" s="24"/>
      <c r="F18" s="976"/>
      <c r="G18" s="2553" t="s">
        <v>3425</v>
      </c>
      <c r="H18" s="1575">
        <f ca="1">成本法!H9</f>
        <v>249</v>
      </c>
      <c r="I18" s="2554" t="s">
        <v>2494</v>
      </c>
      <c r="J18" s="979"/>
      <c r="K18" s="980"/>
    </row>
    <row r="19" spans="1:33" s="975" customFormat="1" ht="13.5" customHeight="1">
      <c r="A19" s="971" t="s">
        <v>805</v>
      </c>
      <c r="B19" s="972" t="s">
        <v>2495</v>
      </c>
      <c r="C19" s="24">
        <f ca="1">ROUND(D19*E19/10000,0)</f>
        <v>249</v>
      </c>
      <c r="D19" s="1033">
        <f ca="1">IF(C1="",'数据-汇总表'!E5,IF(INDIRECT("'数据-取费表'!c"&amp;$K$1)="住宅",INDIRECT("'数据-取费表'!k"&amp;$K$1),0))</f>
        <v>49782.53</v>
      </c>
      <c r="E19" s="24">
        <f>'数据-取费表'!B27</f>
        <v>50</v>
      </c>
      <c r="F19" s="976"/>
      <c r="G19" s="15"/>
      <c r="H19" s="1577"/>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0</v>
      </c>
      <c r="E20" s="24">
        <f>'数据-取费表'!B28</f>
        <v>90</v>
      </c>
      <c r="F20" s="976"/>
      <c r="G20" s="15"/>
      <c r="H20" s="981"/>
      <c r="I20" s="981"/>
      <c r="J20" s="981"/>
      <c r="K20" s="982"/>
    </row>
    <row r="21" spans="1:33" s="975" customFormat="1" ht="13.5" customHeight="1">
      <c r="A21" s="961" t="s">
        <v>802</v>
      </c>
      <c r="B21" s="985" t="s">
        <v>2497</v>
      </c>
      <c r="C21" s="986">
        <f ca="1">C16+C17+C18</f>
        <v>731</v>
      </c>
      <c r="D21" s="987"/>
      <c r="E21" s="325"/>
      <c r="F21" s="325"/>
      <c r="G21" s="140" t="s">
        <v>2498</v>
      </c>
      <c r="H21" s="979"/>
      <c r="I21" s="979"/>
      <c r="J21" s="979"/>
      <c r="K21" s="980"/>
    </row>
    <row r="22" spans="1:33" s="975" customFormat="1" ht="13.5" customHeight="1">
      <c r="A22" s="961" t="s">
        <v>2470</v>
      </c>
      <c r="B22" s="985" t="s">
        <v>2499</v>
      </c>
      <c r="C22" s="986">
        <f ca="1">ROUND(C21*F22,0)</f>
        <v>15</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43</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4.7999999999999996E-3</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2</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2510</v>
      </c>
      <c r="B28" s="2556" t="s">
        <v>2511</v>
      </c>
      <c r="C28" s="331">
        <f ca="1">C30</f>
        <v>118</v>
      </c>
      <c r="D28" s="324">
        <f ca="1">C29</f>
        <v>7.7000000000000002E-3</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7.7000000000000002E-3</v>
      </c>
      <c r="D29" s="328"/>
      <c r="E29" s="329"/>
      <c r="F29" s="334"/>
      <c r="G29" s="140" t="s">
        <v>2513</v>
      </c>
      <c r="H29" s="979"/>
      <c r="I29" s="979"/>
      <c r="J29" s="979"/>
      <c r="K29" s="980"/>
    </row>
    <row r="30" spans="1:33" s="335" customFormat="1" ht="13.5" customHeight="1">
      <c r="A30" s="971" t="s">
        <v>804</v>
      </c>
      <c r="B30" s="994" t="s">
        <v>2514</v>
      </c>
      <c r="C30" s="336">
        <f ca="1">ROUND((C21+C22+C23)*F28,0)</f>
        <v>118</v>
      </c>
      <c r="D30" s="328"/>
      <c r="E30" s="329"/>
      <c r="F30" s="334"/>
      <c r="G30" s="140"/>
      <c r="H30" s="979"/>
      <c r="I30" s="979"/>
      <c r="J30" s="979"/>
      <c r="K30" s="980"/>
    </row>
    <row r="31" spans="1:33" s="975" customFormat="1" ht="13.5" customHeight="1" thickBot="1">
      <c r="A31" s="2557" t="s">
        <v>2515</v>
      </c>
      <c r="B31" s="1005" t="s">
        <v>2516</v>
      </c>
      <c r="C31" s="1006">
        <f ca="1">ROUND(C4*F31/(1+'数据-取费表'!C42),0)</f>
        <v>2303</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38377</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3" sqref="K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t="s">
        <v>3064</v>
      </c>
      <c r="D1" s="1818" t="s">
        <v>3418</v>
      </c>
      <c r="E1" s="1819" t="s">
        <v>1387</v>
      </c>
      <c r="F1" s="1283">
        <f ca="1">J53</f>
        <v>37.549999999999997</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04" t="s">
        <v>1403</v>
      </c>
      <c r="C6" s="1296">
        <f ca="1">ROUND(F6*F8*F7*(1-F9)/10000,0)</f>
        <v>0</v>
      </c>
      <c r="D6" s="164" t="s">
        <v>3034</v>
      </c>
      <c r="E6" s="347" t="s">
        <v>1405</v>
      </c>
      <c r="F6" s="348">
        <f ca="1">INDIRECT("'数据-取费表'!u"&amp;$G$1)</f>
        <v>2</v>
      </c>
      <c r="G6" s="1849"/>
      <c r="H6" s="1291" t="s">
        <v>1035</v>
      </c>
      <c r="I6" s="3204" t="s">
        <v>1403</v>
      </c>
      <c r="J6" s="346">
        <f ca="1">ROUND(M6*M8*M7*(1-M9)/10000,0)</f>
        <v>0</v>
      </c>
      <c r="K6" s="164" t="s">
        <v>3033</v>
      </c>
      <c r="L6" s="347" t="s">
        <v>1405</v>
      </c>
      <c r="M6" s="348">
        <f ca="1">INDIRECT("'数据-取费表'!z"&amp;$G$1)</f>
        <v>0</v>
      </c>
    </row>
    <row r="7" spans="1:37" ht="18" customHeight="1">
      <c r="A7" s="1295"/>
      <c r="B7" s="3205"/>
      <c r="C7" s="1297"/>
      <c r="D7" s="352"/>
      <c r="E7" s="2939" t="s">
        <v>1406</v>
      </c>
      <c r="F7" s="348">
        <f ca="1">IF(INDIRECT("'数据-取费表'!ah"&amp;$G$1)="",INDIRECT("'数据-取费表'!k"&amp;$G$1),INDIRECT("'数据-取费表'!ah"&amp;$G$1))</f>
        <v>0</v>
      </c>
      <c r="G7" s="1849"/>
      <c r="H7" s="349"/>
      <c r="I7" s="3205"/>
      <c r="J7" s="351"/>
      <c r="K7" s="352"/>
      <c r="L7" s="347" t="s">
        <v>1406</v>
      </c>
      <c r="M7" s="348">
        <f ca="1">F7</f>
        <v>0</v>
      </c>
    </row>
    <row r="8" spans="1:37" ht="18" customHeight="1">
      <c r="A8" s="349"/>
      <c r="B8" s="3205"/>
      <c r="C8" s="351"/>
      <c r="D8" s="352"/>
      <c r="E8" s="347" t="s">
        <v>1407</v>
      </c>
      <c r="F8" s="348">
        <f ca="1">INDIRECT("'数据-取费表'!ai"&amp;$G$1)</f>
        <v>365</v>
      </c>
      <c r="G8" s="1849"/>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v>
      </c>
      <c r="G9" s="1849"/>
      <c r="H9" s="349"/>
      <c r="I9" s="3206"/>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3043</v>
      </c>
      <c r="E10" s="358" t="s">
        <v>1410</v>
      </c>
      <c r="F10" s="1366" t="s">
        <v>3419</v>
      </c>
      <c r="G10" s="1849"/>
      <c r="H10" s="1291" t="s">
        <v>1039</v>
      </c>
      <c r="I10" s="1821" t="s">
        <v>1409</v>
      </c>
      <c r="J10" s="346">
        <f ca="1">ROUND(IF(M10="押一",J6/12*M11,IF(M10="押二",J6/12*2*M11,IF(M10="押三",J6/12*3*M11,J11*M11))),0)</f>
        <v>0</v>
      </c>
      <c r="K10" s="1822" t="s">
        <v>3042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1</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0</v>
      </c>
      <c r="D14" s="2942" t="s">
        <v>1418</v>
      </c>
      <c r="E14" s="2941"/>
      <c r="F14" s="364"/>
      <c r="G14" s="1849"/>
      <c r="H14" s="1201" t="s">
        <v>1035</v>
      </c>
      <c r="I14" s="347" t="s">
        <v>1419</v>
      </c>
      <c r="J14" s="24">
        <f ca="1">C29</f>
        <v>0</v>
      </c>
      <c r="K14" s="2938"/>
      <c r="L14" s="979"/>
      <c r="M14" s="980"/>
    </row>
    <row r="15" spans="1:37" s="1856" customFormat="1" ht="18" customHeight="1" thickBot="1">
      <c r="A15" s="1201" t="s">
        <v>1036</v>
      </c>
      <c r="B15" s="347" t="s">
        <v>1420</v>
      </c>
      <c r="C15" s="24">
        <f ca="1">ROUND(C14*F15,0)</f>
        <v>0</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2944"/>
      <c r="M16" s="1294"/>
    </row>
    <row r="17" spans="1:37" s="1856" customFormat="1" ht="18" customHeight="1">
      <c r="A17" s="1201" t="s">
        <v>1390</v>
      </c>
      <c r="B17" s="347" t="s">
        <v>1426</v>
      </c>
      <c r="C17" s="24">
        <f ca="1">ROUND(F17*(F43+INDIRECT("'数据-取费表'!S"&amp;$G$1))/10000,0)</f>
        <v>0</v>
      </c>
      <c r="D17" s="347" t="s">
        <v>1427</v>
      </c>
      <c r="E17" s="347" t="s">
        <v>1428</v>
      </c>
      <c r="F17" s="26">
        <f>'数据-取费表'!B35</f>
        <v>200</v>
      </c>
      <c r="G17" s="1852"/>
      <c r="H17" s="1201" t="s">
        <v>1035</v>
      </c>
      <c r="I17" s="347" t="s">
        <v>1429</v>
      </c>
      <c r="J17" s="24">
        <f ca="1">ROUND(IF(项目基本情况!B11="自然人",J5*M17,J18+J19+J20),1)</f>
        <v>0</v>
      </c>
      <c r="K17" s="2942" t="s">
        <v>1430</v>
      </c>
      <c r="L17" s="2943"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ROUND(J5*M18/(1+'数据-取费表'!C42),2)</f>
        <v>0</v>
      </c>
      <c r="K18" s="2943"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2937"/>
      <c r="F19" s="26"/>
      <c r="G19" s="1849"/>
      <c r="H19" s="1201"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ROUND(M20*M21/10000,2)</f>
        <v>0</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37"/>
      <c r="F22" s="26"/>
      <c r="G22" s="1849"/>
      <c r="H22" s="1201" t="s">
        <v>1039</v>
      </c>
      <c r="I22" s="347" t="s">
        <v>1449</v>
      </c>
      <c r="J22" s="24">
        <f ca="1">ROUND(J14*M22,1)</f>
        <v>0</v>
      </c>
      <c r="K22" s="2943"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2943"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2937"/>
      <c r="F25" s="26"/>
      <c r="G25" s="1849"/>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2944"/>
      <c r="F30" s="1294"/>
      <c r="G30" s="1849"/>
      <c r="H30" s="745"/>
      <c r="I30" s="746"/>
      <c r="J30" s="747"/>
      <c r="K30" s="748"/>
      <c r="L30" s="749"/>
      <c r="M30" s="750"/>
    </row>
    <row r="31" spans="1:37" ht="18" customHeight="1">
      <c r="A31" s="1201" t="s">
        <v>1035</v>
      </c>
      <c r="B31" s="347" t="s">
        <v>1429</v>
      </c>
      <c r="C31" s="24">
        <f ca="1">ROUND(IF(项目基本情况!B11="自然人",C5*F31,C32+C33+C34),1)</f>
        <v>0</v>
      </c>
      <c r="D31" s="2942" t="s">
        <v>1430</v>
      </c>
      <c r="E31" s="2943"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IF(项目基本情况!B11="自然人","——",ROUND(C5*F32/(1+'数据-取费表'!C42),2))</f>
        <v>0</v>
      </c>
      <c r="D32" s="2943"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0</v>
      </c>
      <c r="D33" s="1826" t="s">
        <v>3420</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IF(项目基本情况!B11="自然人","——",ROUND(F34*F35/10000,2))</f>
        <v>0</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0</v>
      </c>
      <c r="G35" s="1849"/>
      <c r="H35" s="745"/>
      <c r="I35" s="1858"/>
      <c r="J35" s="1859"/>
      <c r="K35" s="1860"/>
      <c r="L35" s="1857"/>
      <c r="M35" s="1857"/>
    </row>
    <row r="36" spans="1:18" ht="18" customHeight="1">
      <c r="A36" s="1352" t="s">
        <v>1039</v>
      </c>
      <c r="B36" s="347" t="s">
        <v>1449</v>
      </c>
      <c r="C36" s="24">
        <f ca="1">ROUND(C29*F36,1)</f>
        <v>0</v>
      </c>
      <c r="D36" s="2943" t="s">
        <v>1482</v>
      </c>
      <c r="E36" s="347" t="s">
        <v>1422</v>
      </c>
      <c r="F36" s="374">
        <f ca="1">INDIRECT("'数据-取费表'!Ak"&amp;$G$1)</f>
        <v>1.4999999999999999E-2</v>
      </c>
      <c r="G36" s="1849"/>
      <c r="H36" s="1857"/>
      <c r="I36" s="1858"/>
      <c r="J36" s="1859"/>
      <c r="K36" s="751"/>
      <c r="L36" s="1857"/>
      <c r="M36" s="1857"/>
    </row>
    <row r="37" spans="1:18" ht="18" customHeight="1">
      <c r="A37" s="1201" t="s">
        <v>1075</v>
      </c>
      <c r="B37" s="347" t="s">
        <v>1453</v>
      </c>
      <c r="C37" s="24">
        <f ca="1">ROUND(C13*F37,1)</f>
        <v>0</v>
      </c>
      <c r="D37" s="2943" t="s">
        <v>1454</v>
      </c>
      <c r="E37" s="347" t="s">
        <v>1455</v>
      </c>
      <c r="F37" s="376">
        <f ca="1">INDIRECT("'数据-取费表'!Al"&amp;$G$1)</f>
        <v>1.5E-3</v>
      </c>
      <c r="G37" s="1849"/>
      <c r="H37" s="1857"/>
      <c r="I37" s="1858"/>
      <c r="J37" s="1859"/>
      <c r="K37" s="751"/>
      <c r="L37" s="1857"/>
      <c r="M37" s="1857"/>
    </row>
    <row r="38" spans="1:18" ht="18" customHeight="1" thickBot="1">
      <c r="A38" s="1339" t="s">
        <v>1393</v>
      </c>
      <c r="B38" s="1340" t="s">
        <v>1439</v>
      </c>
      <c r="C38" s="1341">
        <f ca="1">ROUND(C5*F38,1)</f>
        <v>0</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0</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37.549999999999997</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8"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8" thickBot="1">
      <c r="A47" s="1165" t="s">
        <v>1396</v>
      </c>
      <c r="B47" s="1197" t="s">
        <v>1397</v>
      </c>
      <c r="C47" s="1367" t="s">
        <v>1398</v>
      </c>
      <c r="D47" s="1197" t="s">
        <v>1399</v>
      </c>
      <c r="E47" s="1279" t="s">
        <v>1400</v>
      </c>
      <c r="F47" s="1280"/>
      <c r="G47" s="792"/>
      <c r="I47" s="1878" t="s">
        <v>1526</v>
      </c>
      <c r="J47" s="1879" t="s">
        <v>3421</v>
      </c>
      <c r="K47" s="1880" t="s">
        <v>1527</v>
      </c>
      <c r="L47" s="1881">
        <f ca="1">INDIRECT("'数据-取费表'!d"&amp;$G$1)</f>
        <v>40</v>
      </c>
      <c r="M47" s="1836" t="str">
        <f>IF(ISNUMBER(FIND("住宅",C1)),"住宅","非住宅")</f>
        <v>非住宅</v>
      </c>
      <c r="O47" s="1882" t="s">
        <v>1040</v>
      </c>
      <c r="P47" s="1883" t="s">
        <v>1528</v>
      </c>
      <c r="Q47" s="1884">
        <f ca="1">C40+J29</f>
        <v>0</v>
      </c>
      <c r="R47" s="1884" t="s">
        <v>1529</v>
      </c>
    </row>
    <row r="48" spans="1:18" s="1840" customFormat="1" ht="40.200000000000003" thickBot="1">
      <c r="A48" s="1360" t="s">
        <v>1135</v>
      </c>
      <c r="B48" s="345" t="s">
        <v>1401</v>
      </c>
      <c r="C48" s="2936">
        <f ca="1">C49+C53+C55</f>
        <v>0</v>
      </c>
      <c r="D48" s="1362"/>
      <c r="E48" s="1363"/>
      <c r="F48" s="1181"/>
      <c r="G48" s="792"/>
      <c r="H48" s="793"/>
      <c r="I48" s="1885" t="s">
        <v>1530</v>
      </c>
      <c r="J48" s="1886" t="s">
        <v>3422</v>
      </c>
      <c r="K48" s="1887" t="s">
        <v>1531</v>
      </c>
      <c r="L48" s="1888">
        <f ca="1">INDIRECT("'数据-取费表'!f"&amp;$G$1)</f>
        <v>37.65</v>
      </c>
      <c r="O48" s="1882" t="s">
        <v>1041</v>
      </c>
      <c r="P48" s="1883" t="s">
        <v>1532</v>
      </c>
      <c r="Q48" s="1884" t="str">
        <f ca="1">J60</f>
        <v>0</v>
      </c>
      <c r="R48" s="1884" t="s">
        <v>1533</v>
      </c>
    </row>
    <row r="49" spans="1:18" s="1840" customFormat="1" ht="13.8" thickBot="1">
      <c r="A49" s="1194" t="s">
        <v>1136</v>
      </c>
      <c r="B49" s="1827" t="s">
        <v>1490</v>
      </c>
      <c r="C49" s="1364">
        <f ca="1">ROUND(F49*F51*F50*(1-F52)/10000,0)</f>
        <v>0</v>
      </c>
      <c r="D49" s="1276" t="s">
        <v>3035</v>
      </c>
      <c r="E49" s="1828" t="s">
        <v>1491</v>
      </c>
      <c r="F49" s="1281"/>
      <c r="G49" s="1889"/>
      <c r="H49" s="793"/>
      <c r="I49" s="1885" t="s">
        <v>1534</v>
      </c>
      <c r="J49" s="1890">
        <v>2018</v>
      </c>
      <c r="K49" s="1887" t="s">
        <v>1535</v>
      </c>
      <c r="L49" s="1891"/>
      <c r="O49" s="1892" t="s">
        <v>1042</v>
      </c>
      <c r="P49" s="1883" t="s">
        <v>1536</v>
      </c>
      <c r="Q49" s="1884">
        <f ca="1">C29</f>
        <v>0</v>
      </c>
      <c r="R49" s="1884" t="s">
        <v>1529</v>
      </c>
    </row>
    <row r="50" spans="1:18" s="1840" customFormat="1" ht="13.8" thickBot="1">
      <c r="A50" s="1195"/>
      <c r="B50" s="1198"/>
      <c r="C50" s="1368"/>
      <c r="D50" s="1172"/>
      <c r="E50" s="1277" t="s">
        <v>1406</v>
      </c>
      <c r="F50" s="1278">
        <f ca="1">F7</f>
        <v>0</v>
      </c>
      <c r="H50" s="793"/>
      <c r="I50" s="1885" t="s">
        <v>1537</v>
      </c>
      <c r="J50" s="1893">
        <f>SUMPRODUCT((I63:I65=J47)*(J62:L62=J48)*(J63:L65))</f>
        <v>80</v>
      </c>
      <c r="K50" s="1887" t="s">
        <v>1538</v>
      </c>
      <c r="L50" s="1891"/>
      <c r="M50" s="1894"/>
      <c r="O50" s="1892" t="s">
        <v>1043</v>
      </c>
      <c r="P50" s="1883" t="s">
        <v>1539</v>
      </c>
      <c r="Q50" s="1895" t="e">
        <f ca="1">J58</f>
        <v>#VALUE!</v>
      </c>
      <c r="R50" s="1884"/>
    </row>
    <row r="51" spans="1:18" s="1840" customFormat="1" ht="13.8" thickBot="1">
      <c r="A51" s="1196"/>
      <c r="B51" s="1198"/>
      <c r="C51" s="1199"/>
      <c r="D51" s="1172"/>
      <c r="E51" s="1200" t="s">
        <v>1407</v>
      </c>
      <c r="F51" s="348">
        <f ca="1">F8</f>
        <v>365</v>
      </c>
      <c r="I51" s="1896" t="s">
        <v>1540</v>
      </c>
      <c r="J51" s="1897">
        <f>IF(J49="",J50,J49+J50-YEAR('数据-取费表'!B2))</f>
        <v>80</v>
      </c>
      <c r="K51" s="1898" t="s">
        <v>1541</v>
      </c>
      <c r="L51" s="1899">
        <f ca="1">ROUND(-PV(INDIRECT("'数据-取费表'!h"&amp;$G$1),L48,(C39-C13*C76),0),0)</f>
        <v>0</v>
      </c>
      <c r="M51" s="1900"/>
      <c r="O51" s="1892" t="s">
        <v>1044</v>
      </c>
      <c r="P51" s="1883" t="s">
        <v>1542</v>
      </c>
      <c r="Q51" s="1895">
        <f>J52</f>
        <v>0.09</v>
      </c>
      <c r="R51" s="1884"/>
    </row>
    <row r="52" spans="1:18" s="1840" customFormat="1" ht="13.8" thickBot="1">
      <c r="A52" s="1196"/>
      <c r="B52" s="1198"/>
      <c r="C52" s="1199"/>
      <c r="D52" s="1172"/>
      <c r="E52" s="1200" t="s">
        <v>1408</v>
      </c>
      <c r="F52" s="1275"/>
      <c r="I52" s="1901" t="s">
        <v>1543</v>
      </c>
      <c r="J52" s="1902">
        <v>0.09</v>
      </c>
      <c r="K52" s="1901" t="s">
        <v>1544</v>
      </c>
      <c r="L52" s="1902"/>
      <c r="O52" s="1892" t="s">
        <v>1045</v>
      </c>
      <c r="P52" s="1883" t="s">
        <v>1545</v>
      </c>
      <c r="Q52" s="1884">
        <f ca="1">J53</f>
        <v>37.549999999999997</v>
      </c>
      <c r="R52" s="1884" t="s">
        <v>1546</v>
      </c>
    </row>
    <row r="53" spans="1:18" s="1840" customFormat="1" ht="36.6" thickBot="1">
      <c r="A53" s="1404" t="s">
        <v>1137</v>
      </c>
      <c r="B53" s="1829" t="s">
        <v>1409</v>
      </c>
      <c r="C53" s="361">
        <f ca="1">ROUND(IF(F53="押一",C49/12*F11,IF(F53="押二",C49/12*2*F11,IF(F53="押三",C49/12*3*F11,C54*F11))),0)</f>
        <v>0</v>
      </c>
      <c r="D53" s="1822" t="s">
        <v>3042</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37.549999999999997</v>
      </c>
      <c r="K53" s="3207" t="s">
        <v>1548</v>
      </c>
      <c r="L53" s="3208"/>
      <c r="O53" s="1882" t="s">
        <v>1046</v>
      </c>
      <c r="P53" s="1883" t="s">
        <v>1549</v>
      </c>
      <c r="Q53" s="1884">
        <f ca="1">Q47+Q48</f>
        <v>0</v>
      </c>
      <c r="R53" s="1884" t="s">
        <v>1047</v>
      </c>
    </row>
    <row r="54" spans="1:18" s="1840" customFormat="1" ht="24.6" thickBot="1">
      <c r="A54" s="1405"/>
      <c r="B54" s="1823" t="s">
        <v>1388</v>
      </c>
      <c r="C54" s="1178"/>
      <c r="D54" s="1822"/>
      <c r="E54" s="294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3" t="s">
        <v>1075</v>
      </c>
      <c r="B55" s="1825" t="s">
        <v>1413</v>
      </c>
      <c r="C55" s="1334"/>
      <c r="D55" s="1822"/>
      <c r="E55" s="294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37.200000000000003" thickTop="1" thickBot="1">
      <c r="A56" s="1176">
        <v>2</v>
      </c>
      <c r="B56" s="1177" t="s">
        <v>1414</v>
      </c>
      <c r="C56" s="276">
        <f ca="1">C13</f>
        <v>0</v>
      </c>
      <c r="D56" s="1912"/>
      <c r="E56" s="1913"/>
      <c r="F56" s="1905"/>
      <c r="I56" s="1914" t="s">
        <v>1554</v>
      </c>
      <c r="J56" s="1915" t="s">
        <v>3058</v>
      </c>
      <c r="K56" s="1885" t="s">
        <v>1555</v>
      </c>
      <c r="L56" s="1888" t="str">
        <f ca="1">IF(L48&lt;J51,"——",L48-J53)</f>
        <v>——</v>
      </c>
      <c r="O56" s="1882" t="s">
        <v>1040</v>
      </c>
      <c r="P56" s="1883" t="s">
        <v>1528</v>
      </c>
      <c r="Q56" s="1884">
        <f ca="1">C40+J29</f>
        <v>0</v>
      </c>
      <c r="R56" s="1884" t="s">
        <v>1529</v>
      </c>
    </row>
    <row r="57" spans="1:18" s="1840" customFormat="1" ht="24.6" thickBot="1">
      <c r="A57" s="1916"/>
      <c r="B57" s="1169" t="s">
        <v>1478</v>
      </c>
      <c r="C57" s="282">
        <f ca="1">C29</f>
        <v>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6" thickBot="1">
      <c r="A58" s="360" t="s">
        <v>1030</v>
      </c>
      <c r="B58" s="1177" t="s">
        <v>1424</v>
      </c>
      <c r="C58" s="361">
        <f ca="1">ROUND(C59+C64+C65+C66,0)</f>
        <v>0</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IF(项目基本情况!B11="自然人","——",IF(D61="按租金收入计税",ROUND(C48*F61,2),IF(D61="按房产原值计税",ROUND(C57*F61*0.7,2),INDIRECT("'数据-取费表'!Aj"&amp;$G$1))))</f>
        <v>0</v>
      </c>
      <c r="D61" s="1826" t="s">
        <v>1438</v>
      </c>
      <c r="E61" s="1169" t="s">
        <v>1494</v>
      </c>
      <c r="F61" s="367">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IF(项目基本情况!B11="自然人","——",ROUND(F62*F63/10000,2))</f>
        <v>0</v>
      </c>
      <c r="D62" s="1184" t="s">
        <v>1497</v>
      </c>
      <c r="E62" s="1169" t="s">
        <v>1498</v>
      </c>
      <c r="F62" s="371">
        <f t="shared" si="0"/>
        <v>6</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8"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ROUND(C57*F64,1)</f>
        <v>0</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ROUND(C56*F65,1)</f>
        <v>0</v>
      </c>
      <c r="D65" s="1183" t="s">
        <v>1454</v>
      </c>
      <c r="E65" s="1169" t="s">
        <v>1455</v>
      </c>
      <c r="F65" s="376">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2"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24.6"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2" thickBot="1">
      <c r="A68" s="1166" t="s">
        <v>1032</v>
      </c>
      <c r="B68" s="1167" t="s">
        <v>1485</v>
      </c>
      <c r="C68" s="346">
        <f ca="1">ROUND(C67*(1-((1+F70)/(1+F68))^F69)/(F68-F70),0)</f>
        <v>0</v>
      </c>
      <c r="D68" s="1184" t="s">
        <v>1469</v>
      </c>
      <c r="E68" s="1169" t="s">
        <v>1470</v>
      </c>
      <c r="F68" s="357">
        <f ca="1">F40</f>
        <v>0.06</v>
      </c>
      <c r="O68" s="1892" t="s">
        <v>1043</v>
      </c>
      <c r="P68" s="1932" t="s">
        <v>1583</v>
      </c>
      <c r="Q68" s="1884">
        <f ca="1">ROUND(Q69-Q70*Q71,0)</f>
        <v>0</v>
      </c>
      <c r="R68" s="1884" t="s">
        <v>1051</v>
      </c>
    </row>
    <row r="69" spans="1:18" s="1840" customFormat="1" ht="13.8" thickBot="1">
      <c r="A69" s="1170"/>
      <c r="B69" s="1171"/>
      <c r="C69" s="351"/>
      <c r="D69" s="1189" t="s">
        <v>1473</v>
      </c>
      <c r="E69" s="1169" t="s">
        <v>1474</v>
      </c>
      <c r="F69" s="379">
        <f ca="1">F41</f>
        <v>37.549999999999997</v>
      </c>
      <c r="O69" s="1892" t="s">
        <v>1048</v>
      </c>
      <c r="P69" s="1932" t="s">
        <v>1584</v>
      </c>
      <c r="Q69" s="1884">
        <f ca="1">C39</f>
        <v>0</v>
      </c>
      <c r="R69" s="1884" t="s">
        <v>1529</v>
      </c>
    </row>
    <row r="70" spans="1:18" s="1840" customFormat="1" ht="13.8" thickBot="1">
      <c r="A70" s="1173"/>
      <c r="B70" s="1174"/>
      <c r="C70" s="355"/>
      <c r="D70" s="1185"/>
      <c r="E70" s="1169" t="s">
        <v>1477</v>
      </c>
      <c r="F70" s="1275"/>
      <c r="O70" s="1892" t="s">
        <v>1049</v>
      </c>
      <c r="P70" s="1932" t="s">
        <v>1585</v>
      </c>
      <c r="Q70" s="1884">
        <f ca="1">C13</f>
        <v>0</v>
      </c>
      <c r="R70" s="1884" t="s">
        <v>1529</v>
      </c>
    </row>
    <row r="71" spans="1:18" s="1840" customFormat="1" ht="13.8" thickBot="1">
      <c r="A71" s="1190" t="s">
        <v>1033</v>
      </c>
      <c r="B71" s="1191" t="s">
        <v>1487</v>
      </c>
      <c r="C71" s="382" t="e">
        <f ca="1">ROUND(C68*10000/F71,0)</f>
        <v>#DIV/0!</v>
      </c>
      <c r="D71" s="1192" t="s">
        <v>1488</v>
      </c>
      <c r="E71" s="1193" t="s">
        <v>1489</v>
      </c>
      <c r="F71" s="385">
        <f ca="1">F43</f>
        <v>0</v>
      </c>
      <c r="O71" s="1892" t="s">
        <v>1050</v>
      </c>
      <c r="P71" s="1932" t="s">
        <v>1586</v>
      </c>
      <c r="Q71" s="1895">
        <f ca="1">C76</f>
        <v>8.5000000000000006E-2</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续建工期及建筑物耐用年限下的土地年期修正系数Kn</v>
      </c>
      <c r="Q74" s="1884" t="e">
        <f ca="1">L59</f>
        <v>#DIV/0!</v>
      </c>
      <c r="R74" s="1884" t="s">
        <v>1569</v>
      </c>
    </row>
    <row r="75" spans="1:18" ht="13.8" thickBot="1">
      <c r="A75" s="1840"/>
      <c r="B75" s="386" t="s">
        <v>1506</v>
      </c>
      <c r="C75" s="387">
        <f ca="1">ROUND(C13*C76,0)</f>
        <v>0</v>
      </c>
      <c r="D75" s="1840"/>
      <c r="E75" s="1840"/>
      <c r="F75" s="1840"/>
      <c r="K75" s="1866"/>
      <c r="L75" s="1840"/>
      <c r="O75" s="1882" t="s">
        <v>1046</v>
      </c>
      <c r="P75" s="1883" t="s">
        <v>1549</v>
      </c>
      <c r="Q75" s="1884">
        <f ca="1">Q65+Q66</f>
        <v>0</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t="s">
        <v>3062</v>
      </c>
      <c r="D1" s="1818" t="s">
        <v>3418</v>
      </c>
      <c r="E1" s="1819" t="s">
        <v>1387</v>
      </c>
      <c r="F1" s="1283">
        <f ca="1">J53</f>
        <v>37.549999999999997</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04" t="s">
        <v>1403</v>
      </c>
      <c r="C6" s="1296">
        <f ca="1">ROUND(F6*F8*F7*(1-F9)/10000,0)</f>
        <v>0</v>
      </c>
      <c r="D6" s="164" t="s">
        <v>3034</v>
      </c>
      <c r="E6" s="347" t="s">
        <v>1405</v>
      </c>
      <c r="F6" s="348">
        <f ca="1">INDIRECT("'数据-取费表'!u"&amp;$G$1)</f>
        <v>3</v>
      </c>
      <c r="G6" s="1849"/>
      <c r="H6" s="1291" t="s">
        <v>1035</v>
      </c>
      <c r="I6" s="3204" t="s">
        <v>1403</v>
      </c>
      <c r="J6" s="346">
        <f ca="1">ROUND(M6*M8*M7*(1-M9)/10000,0)</f>
        <v>0</v>
      </c>
      <c r="K6" s="164" t="s">
        <v>3033</v>
      </c>
      <c r="L6" s="347" t="s">
        <v>1405</v>
      </c>
      <c r="M6" s="348">
        <f ca="1">INDIRECT("'数据-取费表'!z"&amp;$G$1)</f>
        <v>0</v>
      </c>
    </row>
    <row r="7" spans="1:37" ht="18" customHeight="1">
      <c r="A7" s="1295"/>
      <c r="B7" s="3205"/>
      <c r="C7" s="1297"/>
      <c r="D7" s="352"/>
      <c r="E7" s="1298" t="s">
        <v>1406</v>
      </c>
      <c r="F7" s="348">
        <f ca="1">IF(INDIRECT("'数据-取费表'!ah"&amp;$G$1)="",INDIRECT("'数据-取费表'!k"&amp;$G$1),INDIRECT("'数据-取费表'!ah"&amp;$G$1))</f>
        <v>0</v>
      </c>
      <c r="G7" s="1849"/>
      <c r="H7" s="349"/>
      <c r="I7" s="3205"/>
      <c r="J7" s="351"/>
      <c r="K7" s="352"/>
      <c r="L7" s="347" t="s">
        <v>1406</v>
      </c>
      <c r="M7" s="348">
        <f ca="1">F7</f>
        <v>0</v>
      </c>
    </row>
    <row r="8" spans="1:37" ht="18" customHeight="1">
      <c r="A8" s="349"/>
      <c r="B8" s="3205"/>
      <c r="C8" s="351"/>
      <c r="D8" s="352"/>
      <c r="E8" s="347" t="s">
        <v>1407</v>
      </c>
      <c r="F8" s="348">
        <f ca="1">INDIRECT("'数据-取费表'!ai"&amp;$G$1)</f>
        <v>365</v>
      </c>
      <c r="G8" s="1849"/>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v>
      </c>
      <c r="G9" s="1849"/>
      <c r="H9" s="349"/>
      <c r="I9" s="3206"/>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3043</v>
      </c>
      <c r="E10" s="358" t="s">
        <v>1410</v>
      </c>
      <c r="F10" s="1366" t="s">
        <v>3419</v>
      </c>
      <c r="G10" s="1849"/>
      <c r="H10" s="1291" t="s">
        <v>1039</v>
      </c>
      <c r="I10" s="1821" t="s">
        <v>1409</v>
      </c>
      <c r="J10" s="346">
        <f ca="1">ROUND(IF(M10="押一",J6/12*M11,IF(M10="押二",J6/12*2*M11,IF(M10="押三",J6/12*3*M11,J11*M11))),0)</f>
        <v>0</v>
      </c>
      <c r="K10" s="1822" t="s">
        <v>3042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1</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0</v>
      </c>
      <c r="D14" s="1798" t="s">
        <v>1418</v>
      </c>
      <c r="E14" s="1792"/>
      <c r="F14" s="364"/>
      <c r="G14" s="1849"/>
      <c r="H14" s="1201" t="s">
        <v>1035</v>
      </c>
      <c r="I14" s="347" t="s">
        <v>1419</v>
      </c>
      <c r="J14" s="24">
        <f ca="1">C29</f>
        <v>0</v>
      </c>
      <c r="K14" s="15"/>
      <c r="L14" s="979"/>
      <c r="M14" s="980"/>
    </row>
    <row r="15" spans="1:37" s="1856" customFormat="1" ht="18" customHeight="1" thickBot="1">
      <c r="A15" s="1201" t="s">
        <v>1036</v>
      </c>
      <c r="B15" s="347" t="s">
        <v>1420</v>
      </c>
      <c r="C15" s="24">
        <f ca="1">ROUND(C14*F15,0)</f>
        <v>0</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ROUND(F17*(F43+INDIRECT("'数据-取费表'!S"&amp;$G$1))/10000,0)</f>
        <v>0</v>
      </c>
      <c r="D17" s="347" t="s">
        <v>1427</v>
      </c>
      <c r="E17" s="347" t="s">
        <v>1428</v>
      </c>
      <c r="F17" s="26">
        <f>'数据-取费表'!B35</f>
        <v>200</v>
      </c>
      <c r="G17" s="1852"/>
      <c r="H17" s="1201" t="s">
        <v>1035</v>
      </c>
      <c r="I17" s="347" t="s">
        <v>1429</v>
      </c>
      <c r="J17" s="24">
        <f ca="1">ROUND(IF(项目基本情况!B11="自然人",J5*M17,J18+J19+J20),1)</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ROUND(M20*M21/10000,2)</f>
        <v>0</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ROUND(J14*M22,1)</f>
        <v>0</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5"/>
      <c r="I30" s="746"/>
      <c r="J30" s="747"/>
      <c r="K30" s="748"/>
      <c r="L30" s="749"/>
      <c r="M30" s="750"/>
    </row>
    <row r="31" spans="1:37" ht="18" customHeight="1">
      <c r="A31" s="1201" t="s">
        <v>1035</v>
      </c>
      <c r="B31" s="347" t="s">
        <v>1429</v>
      </c>
      <c r="C31" s="24">
        <f ca="1">ROUND(IF(项目基本情况!B11="自然人",C5*F31,C32+C33+C34),1)</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IF(项目基本情况!B11="自然人","——",ROUND(C5*F32/(1+'数据-取费表'!C42),2))</f>
        <v>0</v>
      </c>
      <c r="D32" s="1796"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0</v>
      </c>
      <c r="D33" s="1826" t="s">
        <v>3420</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IF(项目基本情况!B11="自然人","——",ROUND(F34*F35/10000,2))</f>
        <v>0</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0</v>
      </c>
      <c r="G35" s="1849"/>
      <c r="H35" s="745"/>
      <c r="I35" s="1858"/>
      <c r="J35" s="1859"/>
      <c r="K35" s="1860"/>
      <c r="L35" s="1857"/>
      <c r="M35" s="1857"/>
    </row>
    <row r="36" spans="1:18" ht="18" customHeight="1">
      <c r="A36" s="1352" t="s">
        <v>1039</v>
      </c>
      <c r="B36" s="347" t="s">
        <v>1449</v>
      </c>
      <c r="C36" s="24">
        <f ca="1">ROUND(C29*F36,1)</f>
        <v>0</v>
      </c>
      <c r="D36" s="1796" t="s">
        <v>1482</v>
      </c>
      <c r="E36" s="347" t="s">
        <v>1422</v>
      </c>
      <c r="F36" s="374">
        <f ca="1">INDIRECT("'数据-取费表'!Ak"&amp;$G$1)</f>
        <v>1.4999999999999999E-2</v>
      </c>
      <c r="G36" s="1849"/>
      <c r="H36" s="1857"/>
      <c r="I36" s="1858"/>
      <c r="J36" s="1859"/>
      <c r="K36" s="751"/>
      <c r="L36" s="1857"/>
      <c r="M36" s="1857"/>
    </row>
    <row r="37" spans="1:18" ht="18" customHeight="1">
      <c r="A37" s="1201" t="s">
        <v>1075</v>
      </c>
      <c r="B37" s="347" t="s">
        <v>1453</v>
      </c>
      <c r="C37" s="24">
        <f ca="1">ROUND(C13*F37,1)</f>
        <v>0</v>
      </c>
      <c r="D37" s="1796" t="s">
        <v>1454</v>
      </c>
      <c r="E37" s="347" t="s">
        <v>1455</v>
      </c>
      <c r="F37" s="376">
        <f ca="1">INDIRECT("'数据-取费表'!Al"&amp;$G$1)</f>
        <v>1.5E-3</v>
      </c>
      <c r="G37" s="1849"/>
      <c r="H37" s="1857"/>
      <c r="I37" s="1858"/>
      <c r="J37" s="1859"/>
      <c r="K37" s="751"/>
      <c r="L37" s="1857"/>
      <c r="M37" s="1857"/>
    </row>
    <row r="38" spans="1:18" ht="18" customHeight="1" thickBot="1">
      <c r="A38" s="1339" t="s">
        <v>1393</v>
      </c>
      <c r="B38" s="1340" t="s">
        <v>1439</v>
      </c>
      <c r="C38" s="1341">
        <f ca="1">ROUND(C5*F38,1)</f>
        <v>0</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0</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37.549999999999997</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8"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8" thickBot="1">
      <c r="A47" s="1165" t="s">
        <v>1396</v>
      </c>
      <c r="B47" s="1197" t="s">
        <v>1397</v>
      </c>
      <c r="C47" s="1367" t="s">
        <v>1398</v>
      </c>
      <c r="D47" s="1197" t="s">
        <v>1399</v>
      </c>
      <c r="E47" s="1279" t="s">
        <v>1400</v>
      </c>
      <c r="F47" s="1280"/>
      <c r="G47" s="792"/>
      <c r="I47" s="1878" t="s">
        <v>1526</v>
      </c>
      <c r="J47" s="1879" t="s">
        <v>3412</v>
      </c>
      <c r="K47" s="1880" t="s">
        <v>1527</v>
      </c>
      <c r="L47" s="1881">
        <f ca="1">INDIRECT("'数据-取费表'!d"&amp;$G$1)</f>
        <v>40</v>
      </c>
      <c r="M47" s="1836" t="str">
        <f>IF(ISNUMBER(FIND("住宅",C1)),"住宅","非住宅")</f>
        <v>非住宅</v>
      </c>
      <c r="O47" s="1882" t="s">
        <v>1040</v>
      </c>
      <c r="P47" s="1883" t="s">
        <v>1528</v>
      </c>
      <c r="Q47" s="1884">
        <f ca="1">C40+J29</f>
        <v>0</v>
      </c>
      <c r="R47" s="1884" t="s">
        <v>1529</v>
      </c>
    </row>
    <row r="48" spans="1:18" s="1840" customFormat="1" ht="40.200000000000003" thickBot="1">
      <c r="A48" s="1360" t="s">
        <v>1135</v>
      </c>
      <c r="B48" s="345" t="s">
        <v>1401</v>
      </c>
      <c r="C48" s="1815">
        <f ca="1">C49+C53+C55</f>
        <v>0</v>
      </c>
      <c r="D48" s="1362"/>
      <c r="E48" s="1363"/>
      <c r="F48" s="1181"/>
      <c r="G48" s="792"/>
      <c r="H48" s="793"/>
      <c r="I48" s="1885" t="s">
        <v>1530</v>
      </c>
      <c r="J48" s="1886" t="s">
        <v>3422</v>
      </c>
      <c r="K48" s="1887" t="s">
        <v>1531</v>
      </c>
      <c r="L48" s="1888">
        <f ca="1">INDIRECT("'数据-取费表'!f"&amp;$G$1)</f>
        <v>37.65</v>
      </c>
      <c r="O48" s="1882" t="s">
        <v>1041</v>
      </c>
      <c r="P48" s="1883" t="s">
        <v>1532</v>
      </c>
      <c r="Q48" s="1884" t="str">
        <f ca="1">J60</f>
        <v>0</v>
      </c>
      <c r="R48" s="1884" t="s">
        <v>1533</v>
      </c>
    </row>
    <row r="49" spans="1:18" s="1840" customFormat="1" ht="13.8" thickBot="1">
      <c r="A49" s="1194" t="s">
        <v>1136</v>
      </c>
      <c r="B49" s="1827" t="s">
        <v>1490</v>
      </c>
      <c r="C49" s="1364">
        <f ca="1">ROUND(F49*F51*F50*(1-F52)/10000,0)</f>
        <v>0</v>
      </c>
      <c r="D49" s="1276" t="s">
        <v>3035</v>
      </c>
      <c r="E49" s="1828" t="s">
        <v>1491</v>
      </c>
      <c r="F49" s="1281"/>
      <c r="G49" s="1889"/>
      <c r="H49" s="793"/>
      <c r="I49" s="1885" t="s">
        <v>1534</v>
      </c>
      <c r="J49" s="1890">
        <v>2018</v>
      </c>
      <c r="K49" s="1887" t="s">
        <v>1535</v>
      </c>
      <c r="L49" s="1891"/>
      <c r="O49" s="1892" t="s">
        <v>1042</v>
      </c>
      <c r="P49" s="1883" t="s">
        <v>1536</v>
      </c>
      <c r="Q49" s="1884">
        <f ca="1">C29</f>
        <v>0</v>
      </c>
      <c r="R49" s="1884" t="s">
        <v>1529</v>
      </c>
    </row>
    <row r="50" spans="1:18" s="1840" customFormat="1" ht="13.8" thickBot="1">
      <c r="A50" s="1195"/>
      <c r="B50" s="1198"/>
      <c r="C50" s="1368"/>
      <c r="D50" s="1172"/>
      <c r="E50" s="1277" t="s">
        <v>1406</v>
      </c>
      <c r="F50" s="1278">
        <f ca="1">F7</f>
        <v>0</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8" thickBot="1">
      <c r="A51" s="1196"/>
      <c r="B51" s="1198"/>
      <c r="C51" s="1199"/>
      <c r="D51" s="1172"/>
      <c r="E51" s="1200" t="s">
        <v>1407</v>
      </c>
      <c r="F51" s="348">
        <f ca="1">F8</f>
        <v>365</v>
      </c>
      <c r="I51" s="1896" t="s">
        <v>1540</v>
      </c>
      <c r="J51" s="1897">
        <f>IF(J49="",J50,J49+J50-YEAR('数据-取费表'!B2))</f>
        <v>60</v>
      </c>
      <c r="K51" s="1898" t="s">
        <v>1541</v>
      </c>
      <c r="L51" s="1899">
        <f ca="1">ROUND(-PV(INDIRECT("'数据-取费表'!h"&amp;$G$1),L48,(C39-C13*C76),0),0)</f>
        <v>0</v>
      </c>
      <c r="M51" s="1900"/>
      <c r="O51" s="1892" t="s">
        <v>1044</v>
      </c>
      <c r="P51" s="1883" t="s">
        <v>1542</v>
      </c>
      <c r="Q51" s="1895">
        <f>J52</f>
        <v>0.09</v>
      </c>
      <c r="R51" s="1884"/>
    </row>
    <row r="52" spans="1:18" s="1840" customFormat="1" ht="13.8" thickBot="1">
      <c r="A52" s="1196"/>
      <c r="B52" s="1198"/>
      <c r="C52" s="1199"/>
      <c r="D52" s="1172"/>
      <c r="E52" s="1200" t="s">
        <v>1408</v>
      </c>
      <c r="F52" s="1275"/>
      <c r="I52" s="1901" t="s">
        <v>1543</v>
      </c>
      <c r="J52" s="1902">
        <v>0.09</v>
      </c>
      <c r="K52" s="1901" t="s">
        <v>1544</v>
      </c>
      <c r="L52" s="1902"/>
      <c r="O52" s="1892" t="s">
        <v>1045</v>
      </c>
      <c r="P52" s="1883" t="s">
        <v>1545</v>
      </c>
      <c r="Q52" s="1884">
        <f ca="1">J53</f>
        <v>37.549999999999997</v>
      </c>
      <c r="R52" s="1884" t="s">
        <v>1546</v>
      </c>
    </row>
    <row r="53" spans="1:18" s="1840" customFormat="1" ht="36.6" thickBot="1">
      <c r="A53" s="1404" t="s">
        <v>1137</v>
      </c>
      <c r="B53" s="1829" t="s">
        <v>1409</v>
      </c>
      <c r="C53" s="361">
        <f ca="1">ROUND(IF(F53="押一",C49/12*F11,IF(F53="押二",C49/12*2*F11,IF(F53="押三",C49/12*3*F11,C54*F11))),0)</f>
        <v>0</v>
      </c>
      <c r="D53" s="1822" t="s">
        <v>3042</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37.549999999999997</v>
      </c>
      <c r="K53" s="3207" t="s">
        <v>1548</v>
      </c>
      <c r="L53" s="3208"/>
      <c r="O53" s="1882" t="s">
        <v>1046</v>
      </c>
      <c r="P53" s="1883" t="s">
        <v>1549</v>
      </c>
      <c r="Q53" s="1884">
        <f ca="1">Q47+Q48</f>
        <v>0</v>
      </c>
      <c r="R53" s="1884" t="s">
        <v>1047</v>
      </c>
    </row>
    <row r="54" spans="1:18" s="1840" customFormat="1" ht="24.6"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37.200000000000003" thickTop="1" thickBot="1">
      <c r="A56" s="1176">
        <v>2</v>
      </c>
      <c r="B56" s="1177" t="s">
        <v>1414</v>
      </c>
      <c r="C56" s="276">
        <f ca="1">C13</f>
        <v>0</v>
      </c>
      <c r="D56" s="1912"/>
      <c r="E56" s="1913"/>
      <c r="F56" s="1905"/>
      <c r="I56" s="1914" t="s">
        <v>1554</v>
      </c>
      <c r="J56" s="1915" t="s">
        <v>3058</v>
      </c>
      <c r="K56" s="1885" t="s">
        <v>1555</v>
      </c>
      <c r="L56" s="1888" t="str">
        <f ca="1">IF(L48&lt;J51,"——",L48-J53)</f>
        <v>——</v>
      </c>
      <c r="O56" s="1882" t="s">
        <v>1040</v>
      </c>
      <c r="P56" s="1883" t="s">
        <v>1528</v>
      </c>
      <c r="Q56" s="1884">
        <f ca="1">C40+J29</f>
        <v>0</v>
      </c>
      <c r="R56" s="1884" t="s">
        <v>1529</v>
      </c>
    </row>
    <row r="57" spans="1:18" s="1840" customFormat="1" ht="24.6" thickBot="1">
      <c r="A57" s="1916"/>
      <c r="B57" s="1169" t="s">
        <v>1478</v>
      </c>
      <c r="C57" s="282">
        <f ca="1">C29</f>
        <v>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6" thickBot="1">
      <c r="A58" s="360" t="s">
        <v>1030</v>
      </c>
      <c r="B58" s="1177" t="s">
        <v>1424</v>
      </c>
      <c r="C58" s="361">
        <f ca="1">ROUND(C59+C64+C65+C66,0)</f>
        <v>0</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IF(项目基本情况!B11="自然人","——",IF(D61="按租金收入计税",ROUND(C48*F61,2),IF(D61="按房产原值计税",ROUND(C57*F61*0.7,2),INDIRECT("'数据-取费表'!Aj"&amp;$G$1))))</f>
        <v>0</v>
      </c>
      <c r="D61" s="1826" t="s">
        <v>1438</v>
      </c>
      <c r="E61" s="1169" t="s">
        <v>1494</v>
      </c>
      <c r="F61" s="367">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IF(项目基本情况!B11="自然人","——",ROUND(F62*F63/10000,2))</f>
        <v>0</v>
      </c>
      <c r="D62" s="1184" t="s">
        <v>1497</v>
      </c>
      <c r="E62" s="1169" t="s">
        <v>1498</v>
      </c>
      <c r="F62" s="371">
        <f t="shared" si="0"/>
        <v>6</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8"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ROUND(C57*F64,1)</f>
        <v>0</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ROUND(C56*F65,1)</f>
        <v>0</v>
      </c>
      <c r="D65" s="1183" t="s">
        <v>1454</v>
      </c>
      <c r="E65" s="1169" t="s">
        <v>1455</v>
      </c>
      <c r="F65" s="376">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2"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24.6"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2" thickBot="1">
      <c r="A68" s="1166" t="s">
        <v>1032</v>
      </c>
      <c r="B68" s="1167" t="s">
        <v>1485</v>
      </c>
      <c r="C68" s="346">
        <f ca="1">ROUND(C67*(1-((1+F70)/(1+F68))^F69)/(F68-F70),0)</f>
        <v>0</v>
      </c>
      <c r="D68" s="1184" t="s">
        <v>1469</v>
      </c>
      <c r="E68" s="1169" t="s">
        <v>1470</v>
      </c>
      <c r="F68" s="357">
        <f ca="1">F40</f>
        <v>0.06</v>
      </c>
      <c r="O68" s="1892" t="s">
        <v>1043</v>
      </c>
      <c r="P68" s="1932" t="s">
        <v>1583</v>
      </c>
      <c r="Q68" s="1884">
        <f ca="1">ROUND(Q69-Q70*Q71,0)</f>
        <v>0</v>
      </c>
      <c r="R68" s="1884" t="s">
        <v>1051</v>
      </c>
    </row>
    <row r="69" spans="1:18" s="1840" customFormat="1" ht="13.8" thickBot="1">
      <c r="A69" s="1170"/>
      <c r="B69" s="1171"/>
      <c r="C69" s="351"/>
      <c r="D69" s="1189" t="s">
        <v>1473</v>
      </c>
      <c r="E69" s="1169" t="s">
        <v>1474</v>
      </c>
      <c r="F69" s="379">
        <f ca="1">F41</f>
        <v>37.549999999999997</v>
      </c>
      <c r="O69" s="1892" t="s">
        <v>1048</v>
      </c>
      <c r="P69" s="1932" t="s">
        <v>1584</v>
      </c>
      <c r="Q69" s="1884">
        <f ca="1">C39</f>
        <v>0</v>
      </c>
      <c r="R69" s="1884" t="s">
        <v>1529</v>
      </c>
    </row>
    <row r="70" spans="1:18" s="1840" customFormat="1" ht="13.8" thickBot="1">
      <c r="A70" s="1173"/>
      <c r="B70" s="1174"/>
      <c r="C70" s="355"/>
      <c r="D70" s="1185"/>
      <c r="E70" s="1169" t="s">
        <v>1477</v>
      </c>
      <c r="F70" s="1275"/>
      <c r="O70" s="1892" t="s">
        <v>1049</v>
      </c>
      <c r="P70" s="1932" t="s">
        <v>1585</v>
      </c>
      <c r="Q70" s="1884">
        <f ca="1">C13</f>
        <v>0</v>
      </c>
      <c r="R70" s="1884" t="s">
        <v>1529</v>
      </c>
    </row>
    <row r="71" spans="1:18" s="1840" customFormat="1" ht="13.8" thickBot="1">
      <c r="A71" s="1190" t="s">
        <v>1033</v>
      </c>
      <c r="B71" s="1191" t="s">
        <v>1487</v>
      </c>
      <c r="C71" s="382" t="e">
        <f ca="1">ROUND(C68*10000/F71,0)</f>
        <v>#DIV/0!</v>
      </c>
      <c r="D71" s="1192" t="s">
        <v>1488</v>
      </c>
      <c r="E71" s="1193" t="s">
        <v>1489</v>
      </c>
      <c r="F71" s="385">
        <f ca="1">F43</f>
        <v>0</v>
      </c>
      <c r="O71" s="1892" t="s">
        <v>1050</v>
      </c>
      <c r="P71" s="1932" t="s">
        <v>1586</v>
      </c>
      <c r="Q71" s="1895">
        <f ca="1">C76</f>
        <v>8.5000000000000006E-2</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续建工期及建筑物耐用年限下的土地年期修正系数Kn</v>
      </c>
      <c r="Q74" s="1884" t="e">
        <f ca="1">L59</f>
        <v>#DIV/0!</v>
      </c>
      <c r="R74" s="1884" t="s">
        <v>1569</v>
      </c>
    </row>
    <row r="75" spans="1:18" ht="13.8" thickBot="1">
      <c r="A75" s="1840"/>
      <c r="B75" s="386" t="s">
        <v>1506</v>
      </c>
      <c r="C75" s="387">
        <f ca="1">ROUND(C13*C76,0)</f>
        <v>0</v>
      </c>
      <c r="D75" s="1840"/>
      <c r="E75" s="1840"/>
      <c r="F75" s="1840"/>
      <c r="K75" s="1866"/>
      <c r="L75" s="1840"/>
      <c r="O75" s="1882" t="s">
        <v>1046</v>
      </c>
      <c r="P75" s="1883" t="s">
        <v>1549</v>
      </c>
      <c r="Q75" s="1884">
        <f ca="1">Q65+Q66</f>
        <v>0</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c r="D1" s="1818"/>
      <c r="E1" s="1819" t="s">
        <v>1387</v>
      </c>
      <c r="F1" s="1283"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2">
        <f ca="1">C6+C10+C12</f>
        <v>0</v>
      </c>
      <c r="D5" s="1820" t="s">
        <v>1601</v>
      </c>
      <c r="E5" s="1293"/>
      <c r="F5" s="1294"/>
      <c r="G5" s="1849"/>
      <c r="H5" s="344">
        <v>1</v>
      </c>
      <c r="I5" s="345" t="s">
        <v>1600</v>
      </c>
      <c r="J5" s="1292">
        <f ca="1">J6+J10+J12</f>
        <v>0</v>
      </c>
      <c r="K5" s="1820" t="s">
        <v>1601</v>
      </c>
      <c r="L5" s="1293"/>
      <c r="M5" s="1294"/>
    </row>
    <row r="6" spans="1:37" ht="18" customHeight="1">
      <c r="A6" s="1291" t="s">
        <v>1035</v>
      </c>
      <c r="B6" s="3204" t="s">
        <v>1403</v>
      </c>
      <c r="C6" s="1296">
        <f ca="1">ROUND(F6*F8*F7*(1-F9),0)</f>
        <v>0</v>
      </c>
      <c r="D6" s="164" t="s">
        <v>3031</v>
      </c>
      <c r="E6" s="347" t="s">
        <v>1405</v>
      </c>
      <c r="F6" s="348">
        <f ca="1">INDIRECT("'数据-取费表'!u"&amp;$G$1)</f>
        <v>0</v>
      </c>
      <c r="G6" s="1849"/>
      <c r="H6" s="1291" t="s">
        <v>1035</v>
      </c>
      <c r="I6" s="3204" t="s">
        <v>1403</v>
      </c>
      <c r="J6" s="346">
        <f ca="1">ROUND(M6*M8*M7*(1-M9),0)</f>
        <v>0</v>
      </c>
      <c r="K6" s="1832" t="s">
        <v>3032</v>
      </c>
      <c r="L6" s="347" t="s">
        <v>1405</v>
      </c>
      <c r="M6" s="348">
        <f ca="1">INDIRECT("'数据-取费表'!z"&amp;$G$1)</f>
        <v>0</v>
      </c>
    </row>
    <row r="7" spans="1:37" ht="18" customHeight="1">
      <c r="A7" s="1295"/>
      <c r="B7" s="3205"/>
      <c r="C7" s="1297"/>
      <c r="D7" s="352"/>
      <c r="E7" s="1298" t="s">
        <v>1406</v>
      </c>
      <c r="F7" s="348">
        <f ca="1">IF(INDIRECT("'数据-取费表'!ah"&amp;$G$1)="",INDIRECT("'数据-取费表'!k"&amp;$G$1),INDIRECT("'数据-取费表'!ah"&amp;$G$1))</f>
        <v>0</v>
      </c>
      <c r="G7" s="1849"/>
      <c r="H7" s="349"/>
      <c r="I7" s="3205"/>
      <c r="J7" s="351"/>
      <c r="K7" s="352"/>
      <c r="L7" s="347" t="s">
        <v>1406</v>
      </c>
      <c r="M7" s="348">
        <f ca="1">F7</f>
        <v>0</v>
      </c>
    </row>
    <row r="8" spans="1:37" ht="18" customHeight="1">
      <c r="A8" s="349"/>
      <c r="B8" s="3205"/>
      <c r="C8" s="351"/>
      <c r="D8" s="352"/>
      <c r="E8" s="347" t="s">
        <v>1407</v>
      </c>
      <c r="F8" s="348">
        <f ca="1">INDIRECT("'数据-取费表'!ai"&amp;$G$1)</f>
        <v>0</v>
      </c>
      <c r="G8" s="1849"/>
      <c r="H8" s="349"/>
      <c r="I8" s="3205"/>
      <c r="J8" s="351"/>
      <c r="K8" s="352"/>
      <c r="L8" s="347" t="s">
        <v>1407</v>
      </c>
      <c r="M8" s="348">
        <f ca="1">INDIRECT("'数据-取费表'!ai"&amp;$G$1)</f>
        <v>0</v>
      </c>
    </row>
    <row r="9" spans="1:37" ht="18" customHeight="1">
      <c r="A9" s="349"/>
      <c r="B9" s="3206"/>
      <c r="C9" s="351"/>
      <c r="D9" s="352"/>
      <c r="E9" s="347" t="s">
        <v>1408</v>
      </c>
      <c r="F9" s="357">
        <f ca="1">INDIRECT("'数据-取费表'!w"&amp;$G$1)</f>
        <v>0</v>
      </c>
      <c r="G9" s="1849"/>
      <c r="H9" s="349"/>
      <c r="I9" s="3206"/>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3042</v>
      </c>
      <c r="E10" s="358" t="s">
        <v>1410</v>
      </c>
      <c r="F10" s="1366"/>
      <c r="G10" s="1849"/>
      <c r="H10" s="1291" t="s">
        <v>1039</v>
      </c>
      <c r="I10" s="1821" t="s">
        <v>1409</v>
      </c>
      <c r="J10" s="346">
        <f ca="1">ROUND(IF(M10="押一",J6/12*M11,IF(M10="押二",J6/12*2*M11,IF(M10="押三",J6/12*3*M11,J11*M11))),0)</f>
        <v>0</v>
      </c>
      <c r="K10" s="1833" t="s">
        <v>3044</v>
      </c>
      <c r="L10" s="358" t="s">
        <v>1410</v>
      </c>
      <c r="M10" s="1366"/>
    </row>
    <row r="11" spans="1:37" ht="18" customHeight="1">
      <c r="A11" s="353"/>
      <c r="B11" s="1823" t="s">
        <v>1602</v>
      </c>
      <c r="C11" s="1178"/>
      <c r="D11" s="352"/>
      <c r="E11" s="358" t="s">
        <v>1412</v>
      </c>
      <c r="F11" s="359">
        <f ca="1">'数据-取费表'!B39</f>
        <v>1.4999999999999999E-2</v>
      </c>
      <c r="G11" s="1849"/>
      <c r="H11" s="1299"/>
      <c r="I11" s="1823" t="s">
        <v>1603</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7" t="s">
        <v>1417</v>
      </c>
      <c r="C14" s="363">
        <f ca="1">ROUND(INDIRECT("'数据-取费表'!l"&amp;$G$1)*F43+'数据-取费表'!L14*INDIRECT("'数据-取费表'!S"&amp;$G$1),0)</f>
        <v>0</v>
      </c>
      <c r="D14" s="1798" t="s">
        <v>1418</v>
      </c>
      <c r="E14" s="1792"/>
      <c r="F14" s="364"/>
      <c r="G14" s="1849"/>
      <c r="H14" s="1201" t="s">
        <v>1035</v>
      </c>
      <c r="I14" s="347" t="s">
        <v>1419</v>
      </c>
      <c r="J14" s="24">
        <f ca="1">C29</f>
        <v>0</v>
      </c>
      <c r="K14" s="15"/>
      <c r="L14" s="979"/>
      <c r="M14" s="980"/>
    </row>
    <row r="15" spans="1:37" s="1856" customFormat="1" ht="18" customHeight="1" thickBot="1">
      <c r="A15" s="1201" t="s">
        <v>1036</v>
      </c>
      <c r="B15" s="347" t="s">
        <v>1420</v>
      </c>
      <c r="C15" s="24">
        <f ca="1">ROUND(C14*F15,0)</f>
        <v>0</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ROUND(F17*(F43+INDIRECT("'数据-取费表'!S"&amp;$G$1)),0)</f>
        <v>0</v>
      </c>
      <c r="D17" s="347" t="s">
        <v>1427</v>
      </c>
      <c r="E17" s="347" t="s">
        <v>1428</v>
      </c>
      <c r="F17" s="26">
        <f>'数据-取费表'!B35</f>
        <v>200</v>
      </c>
      <c r="G17" s="1852"/>
      <c r="H17" s="1201"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ROUND(M20*M21,0)</f>
        <v>0</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ROUND(J14*M22,0)</f>
        <v>0</v>
      </c>
      <c r="K22" s="1796" t="s">
        <v>1450</v>
      </c>
      <c r="L22" s="347" t="s">
        <v>1422</v>
      </c>
      <c r="M22" s="374">
        <f ca="1">INDIRECT("'数据-取费表'!Ak"&amp;$G$1)</f>
        <v>0</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5"/>
      <c r="I30" s="746"/>
      <c r="J30" s="747"/>
      <c r="K30" s="748"/>
      <c r="L30" s="749"/>
      <c r="M30" s="750"/>
    </row>
    <row r="31" spans="1:37" ht="18" customHeight="1">
      <c r="A31" s="1201"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1" t="s">
        <v>1389</v>
      </c>
      <c r="B34" s="164" t="s">
        <v>1441</v>
      </c>
      <c r="C34" s="25">
        <f ca="1">IF(项目基本情况!B11="自然人","——",ROUND(F34*F35,))</f>
        <v>0</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0</v>
      </c>
      <c r="G35" s="1849"/>
      <c r="H35" s="745"/>
      <c r="I35" s="1858"/>
      <c r="J35" s="1859"/>
      <c r="K35" s="1860"/>
      <c r="L35" s="1857"/>
      <c r="M35" s="1857"/>
    </row>
    <row r="36" spans="1:18" ht="18" customHeight="1">
      <c r="A36" s="1352"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201"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8"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8" thickBot="1">
      <c r="A47" s="1165" t="s">
        <v>1396</v>
      </c>
      <c r="B47" s="1197" t="s">
        <v>1397</v>
      </c>
      <c r="C47" s="1197" t="s">
        <v>1398</v>
      </c>
      <c r="D47" s="1197" t="s">
        <v>1399</v>
      </c>
      <c r="E47" s="1279" t="s">
        <v>1400</v>
      </c>
      <c r="F47" s="1280"/>
      <c r="G47" s="792"/>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40.200000000000003" thickBot="1">
      <c r="A48" s="1360" t="s">
        <v>1135</v>
      </c>
      <c r="B48" s="345" t="s">
        <v>1401</v>
      </c>
      <c r="C48" s="1815">
        <f ca="1">C49+C53+C55</f>
        <v>0</v>
      </c>
      <c r="D48" s="1362"/>
      <c r="E48" s="1363"/>
      <c r="F48" s="1181"/>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8" thickBot="1">
      <c r="A49" s="1194" t="s">
        <v>1136</v>
      </c>
      <c r="B49" s="1827" t="s">
        <v>1490</v>
      </c>
      <c r="C49" s="1364">
        <f ca="1">ROUND(F49*F51*F50*(1-F52),0)</f>
        <v>0</v>
      </c>
      <c r="D49" s="1276" t="s">
        <v>1404</v>
      </c>
      <c r="E49" s="1828" t="s">
        <v>1491</v>
      </c>
      <c r="F49" s="1281"/>
      <c r="G49" s="1889"/>
      <c r="H49" s="793"/>
      <c r="I49" s="1885" t="s">
        <v>1534</v>
      </c>
      <c r="J49" s="1890"/>
      <c r="K49" s="1887" t="s">
        <v>1535</v>
      </c>
      <c r="L49" s="1891"/>
      <c r="O49" s="1892" t="s">
        <v>1042</v>
      </c>
      <c r="P49" s="1883" t="s">
        <v>1536</v>
      </c>
      <c r="Q49" s="1884">
        <f ca="1">C29</f>
        <v>0</v>
      </c>
      <c r="R49" s="1884" t="s">
        <v>1529</v>
      </c>
    </row>
    <row r="50" spans="1:18" s="1840" customFormat="1" ht="13.8" thickBot="1">
      <c r="A50" s="1195"/>
      <c r="B50" s="1198"/>
      <c r="C50" s="1199"/>
      <c r="D50" s="1172"/>
      <c r="E50" s="1277" t="s">
        <v>1406</v>
      </c>
      <c r="F50" s="1278">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8" thickBot="1">
      <c r="A51" s="1196"/>
      <c r="B51" s="1198"/>
      <c r="C51" s="1199"/>
      <c r="D51" s="1172"/>
      <c r="E51" s="1200"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8"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9" t="s">
        <v>1409</v>
      </c>
      <c r="C53" s="361">
        <f ca="1">ROUND(IF(F53="押一",C49/12*F11,IF(F53="押二",C49/12*2*F11,IF(F53="押三",C49/12*3*F11,C54*F11))),0)</f>
        <v>0</v>
      </c>
      <c r="D53" s="1822" t="s">
        <v>3045</v>
      </c>
      <c r="E53" s="358"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207" t="s">
        <v>1548</v>
      </c>
      <c r="L53" s="3208"/>
      <c r="O53" s="1882" t="s">
        <v>1046</v>
      </c>
      <c r="P53" s="1883" t="s">
        <v>1549</v>
      </c>
      <c r="Q53" s="1884" t="e">
        <f ca="1">Q47+Q48</f>
        <v>#DIV/0!</v>
      </c>
      <c r="R53" s="1884" t="s">
        <v>1047</v>
      </c>
    </row>
    <row r="54" spans="1:18" s="1840" customFormat="1" ht="13.8"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8"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6" thickBot="1">
      <c r="A57" s="1916"/>
      <c r="B57" s="1169"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6" thickBot="1">
      <c r="A58" s="360" t="s">
        <v>1030</v>
      </c>
      <c r="B58" s="1177" t="s">
        <v>1424</v>
      </c>
      <c r="C58" s="361">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IF(项目基本情况!B11="自然人","——",ROUND(C48*F60/(1+'数据-取费表'!C42),0))</f>
        <v>0</v>
      </c>
      <c r="D60" s="1183" t="s">
        <v>1434</v>
      </c>
      <c r="E60" s="1169"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IF(项目基本情况!B11="自然人","——",ROUND(F62*F63,0))</f>
        <v>0</v>
      </c>
      <c r="D62" s="1184" t="s">
        <v>1497</v>
      </c>
      <c r="E62" s="1169" t="s">
        <v>1498</v>
      </c>
      <c r="F62" s="371">
        <f t="shared" si="0"/>
        <v>6</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8"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ROUND(C57*F64,0)</f>
        <v>0</v>
      </c>
      <c r="D64" s="1183" t="s">
        <v>1502</v>
      </c>
      <c r="E64" s="1169"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ROUND(C56*F65,0)</f>
        <v>0</v>
      </c>
      <c r="D65" s="1183" t="s">
        <v>1454</v>
      </c>
      <c r="E65" s="1169"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2" thickBot="1">
      <c r="A66" s="1201" t="s">
        <v>1504</v>
      </c>
      <c r="B66" s="1169" t="s">
        <v>1439</v>
      </c>
      <c r="C66" s="24">
        <f ca="1">ROUND(C48*F66,0)</f>
        <v>0</v>
      </c>
      <c r="D66" s="1183" t="s">
        <v>1505</v>
      </c>
      <c r="E66" s="1169" t="s">
        <v>1422</v>
      </c>
      <c r="F66" s="357">
        <f t="shared" ca="1" si="0"/>
        <v>0</v>
      </c>
      <c r="O66" s="1882" t="s">
        <v>1041</v>
      </c>
      <c r="P66" s="1883" t="s">
        <v>1558</v>
      </c>
      <c r="Q66" s="1884" t="e">
        <f ca="1">L60</f>
        <v>#DIV/0!</v>
      </c>
      <c r="R66" s="1884" t="s">
        <v>1581</v>
      </c>
    </row>
    <row r="67" spans="1:18" s="1840" customFormat="1" ht="24.6"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2" thickBot="1">
      <c r="A68" s="1166" t="s">
        <v>1032</v>
      </c>
      <c r="B68" s="1167" t="s">
        <v>1485</v>
      </c>
      <c r="C68" s="346" t="e">
        <f ca="1">ROUND(C67*(1-((1+F70)/(1+F68))^F69)/(F68-F70),0)</f>
        <v>#DIV/0!</v>
      </c>
      <c r="D68" s="1184" t="s">
        <v>1469</v>
      </c>
      <c r="E68" s="1169" t="s">
        <v>1470</v>
      </c>
      <c r="F68" s="357">
        <f ca="1">F40</f>
        <v>0</v>
      </c>
      <c r="O68" s="1892" t="s">
        <v>1043</v>
      </c>
      <c r="P68" s="1932" t="s">
        <v>1583</v>
      </c>
      <c r="Q68" s="1884">
        <f ca="1">ROUND(Q69-Q70*Q71,0)</f>
        <v>0</v>
      </c>
      <c r="R68" s="1884" t="s">
        <v>1051</v>
      </c>
    </row>
    <row r="69" spans="1:18" s="1840" customFormat="1" ht="13.8" thickBot="1">
      <c r="A69" s="1170"/>
      <c r="B69" s="1171"/>
      <c r="C69" s="351"/>
      <c r="D69" s="1189" t="s">
        <v>1473</v>
      </c>
      <c r="E69" s="1169" t="s">
        <v>1474</v>
      </c>
      <c r="F69" s="379">
        <f ca="1">F41</f>
        <v>0</v>
      </c>
      <c r="O69" s="1892" t="s">
        <v>1048</v>
      </c>
      <c r="P69" s="1932" t="s">
        <v>1584</v>
      </c>
      <c r="Q69" s="1884">
        <f ca="1">C39</f>
        <v>0</v>
      </c>
      <c r="R69" s="1884" t="s">
        <v>1529</v>
      </c>
    </row>
    <row r="70" spans="1:18" s="1840" customFormat="1" ht="13.8" thickBot="1">
      <c r="A70" s="1173"/>
      <c r="B70" s="1174"/>
      <c r="C70" s="355"/>
      <c r="D70" s="1185"/>
      <c r="E70" s="1169" t="s">
        <v>1477</v>
      </c>
      <c r="F70" s="1275">
        <f ca="1">F42</f>
        <v>0</v>
      </c>
      <c r="O70" s="1892" t="s">
        <v>1049</v>
      </c>
      <c r="P70" s="1932" t="s">
        <v>1585</v>
      </c>
      <c r="Q70" s="1884">
        <f ca="1">C13</f>
        <v>0</v>
      </c>
      <c r="R70" s="1884" t="s">
        <v>1529</v>
      </c>
    </row>
    <row r="71" spans="1:18" s="1840" customFormat="1" ht="13.8" thickBot="1">
      <c r="A71" s="1190" t="s">
        <v>1033</v>
      </c>
      <c r="B71" s="1191" t="s">
        <v>1487</v>
      </c>
      <c r="C71" s="382" t="e">
        <f ca="1">ROUND(C68/F71,0)</f>
        <v>#DIV/0!</v>
      </c>
      <c r="D71" s="1192" t="s">
        <v>1488</v>
      </c>
      <c r="E71" s="1193" t="s">
        <v>1489</v>
      </c>
      <c r="F71" s="385">
        <f ca="1">F43</f>
        <v>0</v>
      </c>
      <c r="O71" s="1892" t="s">
        <v>1050</v>
      </c>
      <c r="P71" s="1932" t="s">
        <v>1586</v>
      </c>
      <c r="Q71" s="1895">
        <f ca="1">C76</f>
        <v>0</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8"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8" t="s">
        <v>2527</v>
      </c>
      <c r="B1" s="2559"/>
      <c r="C1" s="2559"/>
      <c r="D1" s="2559"/>
      <c r="E1" s="2560"/>
    </row>
    <row r="2" spans="1:6" ht="15.6">
      <c r="A2" s="2561" t="s">
        <v>2331</v>
      </c>
      <c r="B2" s="2562">
        <f ca="1">SUMIF(B6:B13,"&lt;&gt;#ref!",B6:B13)</f>
        <v>0</v>
      </c>
      <c r="C2" s="2563" t="s">
        <v>2520</v>
      </c>
      <c r="D2" s="2564" t="s">
        <v>2521</v>
      </c>
      <c r="E2" s="2565">
        <f>SUM(E6:E13)</f>
        <v>0</v>
      </c>
    </row>
    <row r="3" spans="1:6" ht="15.6">
      <c r="A3" s="2561" t="s">
        <v>1395</v>
      </c>
      <c r="B3" s="2562" t="e">
        <f ca="1">ROUND(B2*10000/E2,0)</f>
        <v>#DIV/0!</v>
      </c>
      <c r="C3" s="2563" t="s">
        <v>2528</v>
      </c>
      <c r="D3" s="2566"/>
      <c r="E3" s="2567"/>
    </row>
    <row r="4" spans="1:6" ht="15.6">
      <c r="A4" s="2568"/>
      <c r="B4" s="2566"/>
      <c r="C4" s="2566"/>
      <c r="D4" s="2566"/>
      <c r="E4" s="2567"/>
    </row>
    <row r="5" spans="1:6" ht="14.4">
      <c r="A5" s="2569" t="s">
        <v>2522</v>
      </c>
      <c r="B5" s="3209" t="s">
        <v>2523</v>
      </c>
      <c r="C5" s="3209"/>
      <c r="D5" s="2570"/>
      <c r="E5" s="2571" t="s">
        <v>2524</v>
      </c>
      <c r="F5" s="2572" t="s">
        <v>2525</v>
      </c>
    </row>
    <row r="6" spans="1:6" ht="14.4">
      <c r="A6" s="2573">
        <f>'数据-取费表'!AN6</f>
        <v>0</v>
      </c>
      <c r="B6" s="2572" t="e">
        <f ca="1">IF(F6="是",'数据-取费表'!AO6,0)</f>
        <v>#REF!</v>
      </c>
      <c r="C6" s="2563" t="s">
        <v>2520</v>
      </c>
      <c r="D6" s="2566"/>
      <c r="E6" s="2574">
        <f>IF(OR(A6=0,F6="否"),0,'数据-取费表'!K6+'数据-取费表'!S6)</f>
        <v>0</v>
      </c>
      <c r="F6" s="2575" t="s">
        <v>2526</v>
      </c>
    </row>
    <row r="7" spans="1:6" ht="14.4">
      <c r="A7" s="2573" t="str">
        <f>'数据-取费表'!AN7</f>
        <v>收益法-商业（1层）</v>
      </c>
      <c r="B7" s="2572">
        <f ca="1">IF(F7="是",'数据-取费表'!AO7,0)</f>
        <v>0</v>
      </c>
      <c r="C7" s="2563" t="s">
        <v>2520</v>
      </c>
      <c r="D7" s="2566"/>
      <c r="E7" s="2574">
        <f>IF(OR(A7=0,F7="否"),0,'数据-取费表'!K7+'数据-取费表'!S7)</f>
        <v>0</v>
      </c>
      <c r="F7" s="2575" t="s">
        <v>2526</v>
      </c>
    </row>
    <row r="8" spans="1:6" ht="14.4">
      <c r="A8" s="2573" t="str">
        <f>'数据-取费表'!AN8</f>
        <v>收益法-商业1拖2</v>
      </c>
      <c r="B8" s="2572">
        <f ca="1">IF(F8="是",'数据-取费表'!AO8,0)</f>
        <v>0</v>
      </c>
      <c r="C8" s="2563" t="s">
        <v>2520</v>
      </c>
      <c r="D8" s="2566"/>
      <c r="E8" s="2574">
        <f>IF(OR(A8=0,F8="否"),0,'数据-取费表'!K8+'数据-取费表'!S8)</f>
        <v>0</v>
      </c>
      <c r="F8" s="2575" t="s">
        <v>2526</v>
      </c>
    </row>
    <row r="9" spans="1:6" ht="14.4">
      <c r="A9" s="2573">
        <f>'数据-取费表'!AN9</f>
        <v>0</v>
      </c>
      <c r="B9" s="2572" t="e">
        <f ca="1">IF(F9="是",'数据-取费表'!AO9,0)</f>
        <v>#REF!</v>
      </c>
      <c r="C9" s="2563" t="s">
        <v>2520</v>
      </c>
      <c r="D9" s="2566"/>
      <c r="E9" s="2574">
        <f>IF(OR(A9=0,F9="否"),0,'数据-取费表'!K9+'数据-取费表'!S9)</f>
        <v>0</v>
      </c>
      <c r="F9" s="2575" t="s">
        <v>2526</v>
      </c>
    </row>
    <row r="10" spans="1:6" ht="14.4">
      <c r="A10" s="2573">
        <f>'数据-取费表'!AN10</f>
        <v>0</v>
      </c>
      <c r="B10" s="2572" t="e">
        <f ca="1">IF(F10="是",'数据-取费表'!AO10,0)</f>
        <v>#REF!</v>
      </c>
      <c r="C10" s="2563" t="s">
        <v>2520</v>
      </c>
      <c r="D10" s="2566"/>
      <c r="E10" s="2574">
        <f>IF(OR(A10=0,F10="否"),0,'数据-取费表'!K10+'数据-取费表'!S10)</f>
        <v>0</v>
      </c>
      <c r="F10" s="2575" t="s">
        <v>2526</v>
      </c>
    </row>
    <row r="11" spans="1:6" ht="14.4">
      <c r="A11" s="2573">
        <f>'数据-取费表'!AN11</f>
        <v>0</v>
      </c>
      <c r="B11" s="2572" t="e">
        <f ca="1">IF(F11="是",'数据-取费表'!AO11,0)</f>
        <v>#REF!</v>
      </c>
      <c r="C11" s="2563" t="s">
        <v>2520</v>
      </c>
      <c r="D11" s="2566"/>
      <c r="E11" s="2574">
        <f>IF(OR(A11=0,F11="否"),0,'数据-取费表'!K11+'数据-取费表'!S11)</f>
        <v>0</v>
      </c>
      <c r="F11" s="2575" t="s">
        <v>2526</v>
      </c>
    </row>
    <row r="12" spans="1:6" ht="14.4">
      <c r="A12" s="2573">
        <f>'数据-取费表'!AN12</f>
        <v>0</v>
      </c>
      <c r="B12" s="2572" t="e">
        <f ca="1">IF(F12="是",'数据-取费表'!AO12,0)</f>
        <v>#REF!</v>
      </c>
      <c r="C12" s="2563" t="s">
        <v>2520</v>
      </c>
      <c r="D12" s="2566"/>
      <c r="E12" s="2574">
        <f>IF(OR(A12=0,F12="否"),0,'数据-取费表'!K12+'数据-取费表'!S12)</f>
        <v>0</v>
      </c>
      <c r="F12" s="2575" t="s">
        <v>2526</v>
      </c>
    </row>
    <row r="13" spans="1:6" ht="15" thickBot="1">
      <c r="A13" s="2576">
        <f>'数据-取费表'!AN13</f>
        <v>0</v>
      </c>
      <c r="B13" s="2572" t="e">
        <f ca="1">IF(F13="是",'数据-取费表'!AO13,0)</f>
        <v>#REF!</v>
      </c>
      <c r="C13" s="2577" t="s">
        <v>2520</v>
      </c>
      <c r="D13" s="2578"/>
      <c r="E13" s="2574">
        <f>IF(OR(A13=0,F13="否"),0,'数据-取费表'!K13+'数据-取费表'!S13)</f>
        <v>0</v>
      </c>
      <c r="F13" s="257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6" t="s">
        <v>1076</v>
      </c>
      <c r="B1" s="3227"/>
      <c r="C1" s="3228"/>
      <c r="D1" s="3229">
        <f>SUM(I10,I15,I20,I21,I23)</f>
        <v>0</v>
      </c>
      <c r="E1" s="3229"/>
      <c r="F1" s="3229"/>
      <c r="G1" s="3229"/>
      <c r="H1" s="3229"/>
      <c r="I1" s="3230"/>
    </row>
    <row r="2" spans="1:9">
      <c r="A2" s="3216" t="s">
        <v>1077</v>
      </c>
      <c r="B2" s="3217" t="s">
        <v>1078</v>
      </c>
      <c r="C2" s="3217"/>
      <c r="D2" s="1301" t="s">
        <v>1079</v>
      </c>
      <c r="E2" s="1301" t="s">
        <v>1080</v>
      </c>
      <c r="F2" s="1301" t="s">
        <v>1081</v>
      </c>
      <c r="G2" s="1301" t="s">
        <v>1082</v>
      </c>
      <c r="H2" s="1301" t="s">
        <v>1083</v>
      </c>
      <c r="I2" s="1302" t="s">
        <v>1084</v>
      </c>
    </row>
    <row r="3" spans="1:9">
      <c r="A3" s="3216"/>
      <c r="B3" s="3217" t="s">
        <v>1085</v>
      </c>
      <c r="C3" s="3217"/>
      <c r="D3" s="1303"/>
      <c r="E3" s="1301"/>
      <c r="F3" s="1304"/>
      <c r="G3" s="1304"/>
      <c r="H3" s="1305"/>
      <c r="I3" s="1306">
        <f>ROUND(D3*E3*F3*G3*H3/10000,0)</f>
        <v>0</v>
      </c>
    </row>
    <row r="4" spans="1:9">
      <c r="A4" s="3216"/>
      <c r="B4" s="3217" t="s">
        <v>1086</v>
      </c>
      <c r="C4" s="3217"/>
      <c r="D4" s="1303"/>
      <c r="E4" s="1301"/>
      <c r="F4" s="1304"/>
      <c r="G4" s="1304"/>
      <c r="H4" s="1305"/>
      <c r="I4" s="1306">
        <f t="shared" ref="I4:I9" si="0">ROUND(D4*E4*F4*G4*H4/10000,0)</f>
        <v>0</v>
      </c>
    </row>
    <row r="5" spans="1:9">
      <c r="A5" s="3216"/>
      <c r="B5" s="3217" t="s">
        <v>1087</v>
      </c>
      <c r="C5" s="3217"/>
      <c r="D5" s="1303"/>
      <c r="E5" s="1301"/>
      <c r="F5" s="1304"/>
      <c r="G5" s="1304"/>
      <c r="H5" s="1305"/>
      <c r="I5" s="1306">
        <f t="shared" si="0"/>
        <v>0</v>
      </c>
    </row>
    <row r="6" spans="1:9">
      <c r="A6" s="3216"/>
      <c r="B6" s="3217" t="s">
        <v>1088</v>
      </c>
      <c r="C6" s="3217"/>
      <c r="D6" s="1303"/>
      <c r="E6" s="1301"/>
      <c r="F6" s="1304"/>
      <c r="G6" s="1304"/>
      <c r="H6" s="1305"/>
      <c r="I6" s="1306">
        <f t="shared" si="0"/>
        <v>0</v>
      </c>
    </row>
    <row r="7" spans="1:9">
      <c r="A7" s="3216"/>
      <c r="B7" s="3217" t="s">
        <v>1089</v>
      </c>
      <c r="C7" s="3217"/>
      <c r="D7" s="1303"/>
      <c r="E7" s="1301"/>
      <c r="F7" s="1304"/>
      <c r="G7" s="1304"/>
      <c r="H7" s="1305"/>
      <c r="I7" s="1306">
        <f t="shared" si="0"/>
        <v>0</v>
      </c>
    </row>
    <row r="8" spans="1:9">
      <c r="A8" s="3216"/>
      <c r="B8" s="3217" t="s">
        <v>1090</v>
      </c>
      <c r="C8" s="3217"/>
      <c r="D8" s="1303"/>
      <c r="E8" s="1301"/>
      <c r="F8" s="1304"/>
      <c r="G8" s="1304"/>
      <c r="H8" s="1305"/>
      <c r="I8" s="1306">
        <f t="shared" si="0"/>
        <v>0</v>
      </c>
    </row>
    <row r="9" spans="1:9">
      <c r="A9" s="3216"/>
      <c r="B9" s="3217" t="s">
        <v>1091</v>
      </c>
      <c r="C9" s="3217"/>
      <c r="D9" s="1303"/>
      <c r="E9" s="1301"/>
      <c r="F9" s="1304"/>
      <c r="G9" s="1304"/>
      <c r="H9" s="1305"/>
      <c r="I9" s="1306">
        <f t="shared" si="0"/>
        <v>0</v>
      </c>
    </row>
    <row r="10" spans="1:9">
      <c r="A10" s="3216"/>
      <c r="B10" s="3218" t="s">
        <v>1092</v>
      </c>
      <c r="C10" s="3218"/>
      <c r="D10" s="1307"/>
      <c r="E10" s="1307" t="e">
        <f>ROUND(D1*10000/D10/H9,0)</f>
        <v>#DIV/0!</v>
      </c>
      <c r="F10" s="1308"/>
      <c r="G10" s="1308"/>
      <c r="H10" s="1309"/>
      <c r="I10" s="1310">
        <f>SUM(I3:I9)</f>
        <v>0</v>
      </c>
    </row>
    <row r="11" spans="1:9" ht="15.6">
      <c r="A11" s="3216" t="s">
        <v>1093</v>
      </c>
      <c r="B11" s="3217" t="s">
        <v>1094</v>
      </c>
      <c r="C11" s="3217"/>
      <c r="D11" s="1303" t="s">
        <v>1095</v>
      </c>
      <c r="E11" s="1303" t="s">
        <v>1096</v>
      </c>
      <c r="F11" s="1304" t="s">
        <v>1097</v>
      </c>
      <c r="G11" s="1304" t="s">
        <v>1083</v>
      </c>
      <c r="H11" s="1311" t="s">
        <v>1098</v>
      </c>
      <c r="I11" s="1302" t="s">
        <v>1084</v>
      </c>
    </row>
    <row r="12" spans="1:9">
      <c r="A12" s="3216"/>
      <c r="B12" s="3217" t="s">
        <v>1099</v>
      </c>
      <c r="C12" s="3217"/>
      <c r="D12" s="1303"/>
      <c r="E12" s="1303"/>
      <c r="F12" s="1304"/>
      <c r="G12" s="1305"/>
      <c r="H12" s="1312"/>
      <c r="I12" s="1302">
        <f>ROUND(D12*E12*F12*G12/10000,0)</f>
        <v>0</v>
      </c>
    </row>
    <row r="13" spans="1:9">
      <c r="A13" s="3216"/>
      <c r="B13" s="3217" t="s">
        <v>1100</v>
      </c>
      <c r="C13" s="3217"/>
      <c r="D13" s="1303"/>
      <c r="E13" s="1303"/>
      <c r="F13" s="1304"/>
      <c r="G13" s="1305"/>
      <c r="H13" s="1312"/>
      <c r="I13" s="1302">
        <f>ROUND(D13*E13*F13*G13/10000,0)</f>
        <v>0</v>
      </c>
    </row>
    <row r="14" spans="1:9">
      <c r="A14" s="3216"/>
      <c r="B14" s="3217" t="s">
        <v>1101</v>
      </c>
      <c r="C14" s="3217"/>
      <c r="D14" s="1303"/>
      <c r="E14" s="1303"/>
      <c r="F14" s="1304"/>
      <c r="G14" s="1305"/>
      <c r="H14" s="1312"/>
      <c r="I14" s="1302">
        <f>ROUND(D14*E14*F14*G14/10000,0)</f>
        <v>0</v>
      </c>
    </row>
    <row r="15" spans="1:9">
      <c r="A15" s="3216"/>
      <c r="B15" s="3218" t="s">
        <v>1092</v>
      </c>
      <c r="C15" s="3218"/>
      <c r="D15" s="1307"/>
      <c r="E15" s="1307">
        <f>SUM(E12:E14)</f>
        <v>0</v>
      </c>
      <c r="F15" s="1308"/>
      <c r="G15" s="1305"/>
      <c r="H15" s="1312"/>
      <c r="I15" s="1313">
        <f>SUM(I12:I14)</f>
        <v>0</v>
      </c>
    </row>
    <row r="16" spans="1:9" ht="24">
      <c r="A16" s="3216" t="s">
        <v>1102</v>
      </c>
      <c r="B16" s="3217" t="s">
        <v>1103</v>
      </c>
      <c r="C16" s="3217"/>
      <c r="D16" s="1303" t="s">
        <v>1079</v>
      </c>
      <c r="E16" s="1314" t="s">
        <v>1104</v>
      </c>
      <c r="F16" s="1304" t="s">
        <v>1105</v>
      </c>
      <c r="G16" s="1305" t="s">
        <v>1083</v>
      </c>
      <c r="H16" s="1311" t="s">
        <v>1098</v>
      </c>
      <c r="I16" s="1302" t="s">
        <v>1084</v>
      </c>
    </row>
    <row r="17" spans="1:9" ht="15.6">
      <c r="A17" s="3216"/>
      <c r="B17" s="3217" t="s">
        <v>1106</v>
      </c>
      <c r="C17" s="3217"/>
      <c r="D17" s="1303"/>
      <c r="E17" s="1303"/>
      <c r="F17" s="1304"/>
      <c r="G17" s="1305"/>
      <c r="H17" s="1315"/>
      <c r="I17" s="1316">
        <f>ROUND(D17*E17*F17*G17/10000,0)</f>
        <v>0</v>
      </c>
    </row>
    <row r="18" spans="1:9" ht="15.6">
      <c r="A18" s="3216"/>
      <c r="B18" s="3217" t="s">
        <v>1107</v>
      </c>
      <c r="C18" s="3217"/>
      <c r="D18" s="1303"/>
      <c r="E18" s="1303"/>
      <c r="F18" s="1304"/>
      <c r="G18" s="1305"/>
      <c r="H18" s="1315"/>
      <c r="I18" s="1316">
        <f>ROUND(D18*E18*F18*G18/10000,0)</f>
        <v>0</v>
      </c>
    </row>
    <row r="19" spans="1:9" ht="15.6">
      <c r="A19" s="3216"/>
      <c r="B19" s="3217" t="s">
        <v>1108</v>
      </c>
      <c r="C19" s="3217"/>
      <c r="D19" s="1303"/>
      <c r="E19" s="1303"/>
      <c r="F19" s="1304"/>
      <c r="G19" s="1305"/>
      <c r="H19" s="1315"/>
      <c r="I19" s="1316">
        <f>ROUND(D19*E19*F19*G19/10000,0)</f>
        <v>0</v>
      </c>
    </row>
    <row r="20" spans="1:9">
      <c r="A20" s="3216"/>
      <c r="B20" s="3218" t="s">
        <v>1092</v>
      </c>
      <c r="C20" s="3218"/>
      <c r="D20" s="1307">
        <f>SUM(D17:D19)</f>
        <v>0</v>
      </c>
      <c r="E20" s="1307"/>
      <c r="F20" s="1308"/>
      <c r="G20" s="1305"/>
      <c r="H20" s="1312"/>
      <c r="I20" s="1313">
        <f>SUM(I17:I19)</f>
        <v>0</v>
      </c>
    </row>
    <row r="21" spans="1:9">
      <c r="A21" s="3216" t="s">
        <v>1109</v>
      </c>
      <c r="B21" s="3219"/>
      <c r="C21" s="3219"/>
      <c r="D21" s="3219"/>
      <c r="E21" s="3219"/>
      <c r="F21" s="3219"/>
      <c r="G21" s="3219"/>
      <c r="H21" s="1763">
        <v>0.1</v>
      </c>
      <c r="I21" s="1310">
        <f>ROUND(I10*H21,0)</f>
        <v>0</v>
      </c>
    </row>
    <row r="22" spans="1:9" ht="15.6">
      <c r="A22" s="3220" t="s">
        <v>1110</v>
      </c>
      <c r="B22" s="3221"/>
      <c r="C22" s="3222"/>
      <c r="D22" s="1317" t="s">
        <v>1111</v>
      </c>
      <c r="E22" s="1317" t="s">
        <v>1112</v>
      </c>
      <c r="F22" s="1318" t="s">
        <v>1113</v>
      </c>
      <c r="G22" s="1318" t="s">
        <v>1114</v>
      </c>
      <c r="H22" s="1311" t="s">
        <v>1115</v>
      </c>
      <c r="I22" s="1302" t="s">
        <v>1116</v>
      </c>
    </row>
    <row r="23" spans="1:9" ht="15" thickBot="1">
      <c r="A23" s="3223"/>
      <c r="B23" s="3224"/>
      <c r="C23" s="3225"/>
      <c r="D23" s="1319"/>
      <c r="E23" s="1319"/>
      <c r="F23" s="1319"/>
      <c r="G23" s="1320"/>
      <c r="H23" s="1321"/>
      <c r="I23" s="1322">
        <f>ROUND(E23*D23*F23*(1-G23)/10000,0)</f>
        <v>0</v>
      </c>
    </row>
    <row r="26" spans="1:9">
      <c r="A26" s="1323" t="s">
        <v>1117</v>
      </c>
      <c r="B26" s="1323"/>
      <c r="C26" s="1323"/>
      <c r="D26" s="1323"/>
      <c r="E26" s="3213">
        <f>C27-C30-C31-C32</f>
        <v>0</v>
      </c>
      <c r="F26" s="3213"/>
      <c r="G26" s="3213"/>
      <c r="H26" s="1735" t="s">
        <v>1340</v>
      </c>
    </row>
    <row r="27" spans="1:9">
      <c r="A27" s="1324">
        <v>1</v>
      </c>
      <c r="B27" s="1325" t="s">
        <v>1118</v>
      </c>
      <c r="C27" s="1325">
        <f>C28+C29</f>
        <v>0</v>
      </c>
      <c r="D27" s="1325"/>
      <c r="E27" s="3214"/>
      <c r="F27" s="3214"/>
      <c r="G27" s="3214"/>
    </row>
    <row r="28" spans="1:9">
      <c r="A28" s="1326" t="s">
        <v>1119</v>
      </c>
      <c r="B28" s="1325" t="s">
        <v>1120</v>
      </c>
      <c r="C28" s="1325"/>
      <c r="D28" s="1325"/>
      <c r="E28" s="3214"/>
      <c r="F28" s="3214"/>
      <c r="G28" s="3214"/>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15"/>
      <c r="F32" s="3215"/>
      <c r="G32" s="3215"/>
    </row>
    <row r="33" spans="1:7" hidden="1">
      <c r="A33" s="3210" t="s">
        <v>1129</v>
      </c>
      <c r="B33" s="3211"/>
      <c r="C33" s="3211"/>
      <c r="D33" s="3212"/>
      <c r="E33" s="3213"/>
      <c r="F33" s="3213"/>
      <c r="G33" s="3213"/>
    </row>
    <row r="34" spans="1:7" hidden="1">
      <c r="A34" s="1328">
        <v>1</v>
      </c>
      <c r="B34" s="1325" t="s">
        <v>1130</v>
      </c>
      <c r="C34" s="1325"/>
      <c r="D34" s="1325"/>
      <c r="E34" s="3214"/>
      <c r="F34" s="3214"/>
      <c r="G34" s="3214"/>
    </row>
    <row r="35" spans="1:7" hidden="1">
      <c r="A35" s="1328">
        <v>2</v>
      </c>
      <c r="B35" s="1325" t="s">
        <v>1131</v>
      </c>
      <c r="C35" s="1325"/>
      <c r="D35" s="1325"/>
      <c r="E35" s="3214"/>
      <c r="F35" s="3214"/>
      <c r="G35" s="3214"/>
    </row>
    <row r="36" spans="1:7" hidden="1">
      <c r="A36" s="1328">
        <v>3</v>
      </c>
      <c r="B36" s="1325" t="s">
        <v>1132</v>
      </c>
      <c r="C36" s="1325"/>
      <c r="D36" s="1325"/>
      <c r="E36" s="3214"/>
      <c r="F36" s="3214"/>
      <c r="G36" s="3214"/>
    </row>
    <row r="37" spans="1:7" hidden="1">
      <c r="A37" s="1328">
        <v>4</v>
      </c>
      <c r="B37" s="1325" t="s">
        <v>1133</v>
      </c>
      <c r="C37" s="1325"/>
      <c r="D37" s="1325"/>
      <c r="E37" s="3214"/>
      <c r="F37" s="3214"/>
      <c r="G37" s="3214"/>
    </row>
    <row r="38" spans="1:7" hidden="1">
      <c r="A38" s="3210" t="s">
        <v>1134</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C20" sqref="C2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7.21875" style="403" customWidth="1"/>
    <col min="6" max="6" width="12.21875" style="403" customWidth="1"/>
    <col min="7" max="7" width="16.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579" t="s">
        <v>2530</v>
      </c>
      <c r="C1" s="1632" t="s">
        <v>2531</v>
      </c>
      <c r="D1" s="1619" t="s">
        <v>3055</v>
      </c>
      <c r="E1" s="2580"/>
      <c r="F1" s="2581" t="s">
        <v>2532</v>
      </c>
      <c r="G1" s="1629" t="s">
        <v>2533</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1394</v>
      </c>
      <c r="B2" s="1417">
        <f>IF(C2="——",ROUND(C49*D3/10000,0),ROUND(C49*D3/10000,0)-D2)</f>
        <v>47612</v>
      </c>
      <c r="C2" s="2583" t="s">
        <v>70</v>
      </c>
      <c r="D2" s="1365" t="e">
        <f ca="1">SUMIF(INDIRECT("'"&amp;F2&amp;"'"&amp;"!A:A"),"承租人权益价值",INDIRECT("'"&amp;F2&amp;"'"&amp;"!c:c"))</f>
        <v>#REF!</v>
      </c>
      <c r="E2" s="2584" t="s">
        <v>2534</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9564</v>
      </c>
      <c r="C3" s="400" t="s">
        <v>2535</v>
      </c>
      <c r="D3" s="399">
        <f>IF(D1="",'数据-汇总表'!E3,SUMIF('数据-汇总表'!$C19:$C33,D1,'数据-汇总表'!$E19:$E33))</f>
        <v>49782.53</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4.4">
      <c r="A4" s="401" t="s">
        <v>2536</v>
      </c>
      <c r="B4" s="402"/>
      <c r="C4" s="3160" t="s">
        <v>2537</v>
      </c>
      <c r="D4" s="3173"/>
      <c r="E4" s="3174" t="s">
        <v>2538</v>
      </c>
      <c r="F4" s="3175"/>
      <c r="G4" s="3160" t="s">
        <v>2539</v>
      </c>
      <c r="H4" s="3173"/>
      <c r="I4" s="3160" t="s">
        <v>2540</v>
      </c>
      <c r="J4" s="3173"/>
      <c r="K4" s="2593" t="s">
        <v>2541</v>
      </c>
      <c r="L4" s="1130"/>
      <c r="M4" s="1131"/>
      <c r="N4" s="1131"/>
      <c r="O4" s="1131"/>
      <c r="P4" s="3176" t="s">
        <v>2542</v>
      </c>
      <c r="Q4" s="3177"/>
      <c r="R4" s="3182" t="s">
        <v>2538</v>
      </c>
      <c r="S4" s="3183"/>
      <c r="T4" s="3182" t="s">
        <v>2539</v>
      </c>
      <c r="U4" s="3183"/>
      <c r="V4" s="3169" t="s">
        <v>2540</v>
      </c>
      <c r="W4" s="3169"/>
      <c r="X4" s="1811"/>
      <c r="Y4" s="3182" t="s">
        <v>2542</v>
      </c>
      <c r="Z4" s="3183"/>
      <c r="AA4" s="3170" t="s">
        <v>2538</v>
      </c>
      <c r="AB4" s="3170" t="s">
        <v>2539</v>
      </c>
      <c r="AC4" s="3170" t="s">
        <v>2540</v>
      </c>
    </row>
    <row r="5" spans="1:29">
      <c r="A5" s="404"/>
      <c r="B5" s="405"/>
      <c r="C5" s="3239" t="s">
        <v>3384</v>
      </c>
      <c r="D5" s="3191"/>
      <c r="E5" s="3241" t="s">
        <v>3459</v>
      </c>
      <c r="F5" s="3200"/>
      <c r="G5" s="3239" t="s">
        <v>3461</v>
      </c>
      <c r="H5" s="3191"/>
      <c r="I5" s="3239" t="s">
        <v>3462</v>
      </c>
      <c r="J5" s="3191"/>
      <c r="K5" s="2594"/>
      <c r="L5" s="1130"/>
      <c r="M5" s="1131"/>
      <c r="N5" s="1131"/>
      <c r="O5" s="1131"/>
      <c r="P5" s="3178"/>
      <c r="Q5" s="3179"/>
      <c r="R5" s="3184"/>
      <c r="S5" s="3185"/>
      <c r="T5" s="3184"/>
      <c r="U5" s="3185"/>
      <c r="V5" s="3169"/>
      <c r="W5" s="3169"/>
      <c r="X5" s="1811"/>
      <c r="Y5" s="3184"/>
      <c r="Z5" s="3185"/>
      <c r="AA5" s="3171"/>
      <c r="AB5" s="3171"/>
      <c r="AC5" s="3171"/>
    </row>
    <row r="6" spans="1:29" ht="15" thickBot="1">
      <c r="A6" s="406"/>
      <c r="B6" s="407"/>
      <c r="C6" s="3196" t="s">
        <v>3385</v>
      </c>
      <c r="D6" s="3189"/>
      <c r="E6" s="3240" t="s">
        <v>3458</v>
      </c>
      <c r="F6" s="3198"/>
      <c r="G6" s="3240" t="s">
        <v>3389</v>
      </c>
      <c r="H6" s="3198"/>
      <c r="I6" s="3196" t="s">
        <v>3388</v>
      </c>
      <c r="J6" s="3189"/>
      <c r="K6" s="2594" t="s">
        <v>2548</v>
      </c>
      <c r="L6" s="1130"/>
      <c r="M6" s="1131"/>
      <c r="N6" s="1131"/>
      <c r="O6" s="1131"/>
      <c r="P6" s="3180"/>
      <c r="Q6" s="3181"/>
      <c r="R6" s="3184"/>
      <c r="S6" s="3185"/>
      <c r="T6" s="3186"/>
      <c r="U6" s="3187"/>
      <c r="V6" s="3169"/>
      <c r="W6" s="3169"/>
      <c r="X6" s="1811"/>
      <c r="Y6" s="3186"/>
      <c r="Z6" s="3187"/>
      <c r="AA6" s="3172"/>
      <c r="AB6" s="3172"/>
      <c r="AC6" s="3172"/>
    </row>
    <row r="7" spans="1:29" s="117" customFormat="1" ht="15" thickBot="1">
      <c r="A7" s="408" t="s">
        <v>2549</v>
      </c>
      <c r="B7" s="409"/>
      <c r="C7" s="410">
        <f>'数据-取费表'!B2</f>
        <v>43342</v>
      </c>
      <c r="D7" s="411">
        <v>100</v>
      </c>
      <c r="E7" s="412">
        <v>43341</v>
      </c>
      <c r="F7" s="413">
        <f>SUMIF(58:58,YEAR(E7)&amp;"-"&amp;MONTH(E7),59:59)</f>
        <v>100</v>
      </c>
      <c r="G7" s="412">
        <v>43339</v>
      </c>
      <c r="H7" s="411">
        <f>SUMIF(58:58,YEAR(G7)&amp;"-"&amp;MONTH(G7),59:59)</f>
        <v>100</v>
      </c>
      <c r="I7" s="412">
        <v>43313</v>
      </c>
      <c r="J7" s="411">
        <f>SUMIF(58:58,YEAR(I7)&amp;"-"&amp;MONTH(I7),59:59)</f>
        <v>100</v>
      </c>
      <c r="K7" s="2595"/>
      <c r="L7" s="1132"/>
      <c r="M7" s="1133"/>
      <c r="N7" s="1133"/>
      <c r="O7" s="1133"/>
      <c r="P7" s="3192" t="s">
        <v>2550</v>
      </c>
      <c r="Q7" s="3194"/>
      <c r="R7" s="770" t="s">
        <v>23</v>
      </c>
      <c r="S7" s="771">
        <f t="shared" ref="S7:S15" si="0">F7</f>
        <v>100</v>
      </c>
      <c r="T7" s="770" t="s">
        <v>23</v>
      </c>
      <c r="U7" s="771">
        <f t="shared" ref="U7:U15" si="1">H7</f>
        <v>100</v>
      </c>
      <c r="V7" s="770" t="s">
        <v>23</v>
      </c>
      <c r="W7" s="771">
        <f t="shared" ref="W7:W15" si="2">J7</f>
        <v>100</v>
      </c>
      <c r="X7" s="772"/>
      <c r="Y7" s="3192" t="s">
        <v>2550</v>
      </c>
      <c r="Z7" s="3193"/>
      <c r="AA7" s="773">
        <f>D7/F7</f>
        <v>1</v>
      </c>
      <c r="AB7" s="773">
        <f>D7/H7</f>
        <v>1</v>
      </c>
      <c r="AC7" s="773">
        <f>D7/J7</f>
        <v>1</v>
      </c>
    </row>
    <row r="8" spans="1:29" s="117" customFormat="1" ht="15" thickBot="1">
      <c r="A8" s="408" t="s">
        <v>2551</v>
      </c>
      <c r="B8" s="409"/>
      <c r="C8" s="414" t="s">
        <v>2552</v>
      </c>
      <c r="D8" s="411">
        <v>100</v>
      </c>
      <c r="E8" s="414" t="s">
        <v>2552</v>
      </c>
      <c r="F8" s="413">
        <f>SUMIF(61:61,E8,62:62)-SUMIF(61:61,C8,62:62)+100</f>
        <v>100</v>
      </c>
      <c r="G8" s="414" t="s">
        <v>2552</v>
      </c>
      <c r="H8" s="411">
        <f>SUMIF(61:61,G8,62:62)-SUMIF(61:61,C8,62:62)+100</f>
        <v>100</v>
      </c>
      <c r="I8" s="414" t="s">
        <v>2552</v>
      </c>
      <c r="J8" s="411">
        <f>SUMIF(61:61,I8,62:62)-SUMIF(61:61,C8,62:62)+100</f>
        <v>100</v>
      </c>
      <c r="K8" s="2595"/>
      <c r="L8" s="1132"/>
      <c r="M8" s="1133"/>
      <c r="N8" s="1133"/>
      <c r="O8" s="1133"/>
      <c r="P8" s="3192" t="s">
        <v>2553</v>
      </c>
      <c r="Q8" s="3193"/>
      <c r="R8" s="770" t="s">
        <v>23</v>
      </c>
      <c r="S8" s="771">
        <f t="shared" si="0"/>
        <v>100</v>
      </c>
      <c r="T8" s="770" t="s">
        <v>23</v>
      </c>
      <c r="U8" s="771">
        <f t="shared" si="1"/>
        <v>100</v>
      </c>
      <c r="V8" s="770" t="s">
        <v>23</v>
      </c>
      <c r="W8" s="771">
        <f t="shared" si="2"/>
        <v>100</v>
      </c>
      <c r="X8" s="772"/>
      <c r="Y8" s="3192" t="s">
        <v>2553</v>
      </c>
      <c r="Z8" s="3193"/>
      <c r="AA8" s="773">
        <f t="shared" ref="AA8:AA19" si="3">D8/F8</f>
        <v>1</v>
      </c>
      <c r="AB8" s="773">
        <f t="shared" ref="AB8:AB19" si="4">D8/H8</f>
        <v>1</v>
      </c>
      <c r="AC8" s="773">
        <f t="shared" ref="AC8:AC19" si="5">D8/J8</f>
        <v>1</v>
      </c>
    </row>
    <row r="9" spans="1:29" s="117" customFormat="1" ht="14.4">
      <c r="A9" s="415" t="s">
        <v>2554</v>
      </c>
      <c r="B9" s="71" t="s">
        <v>2555</v>
      </c>
      <c r="C9" s="2963" t="s">
        <v>3387</v>
      </c>
      <c r="D9" s="135">
        <v>100</v>
      </c>
      <c r="E9" s="2963" t="s">
        <v>3387</v>
      </c>
      <c r="F9" s="418">
        <f>SUMIF(63:63,E9,64:64)-SUMIF(63:63,C9,64:64)+100</f>
        <v>100</v>
      </c>
      <c r="G9" s="2963" t="s">
        <v>3387</v>
      </c>
      <c r="H9" s="135">
        <f>SUMIF(63:63,G9,64:64)-SUMIF(63:63,C9,64:64)+100</f>
        <v>100</v>
      </c>
      <c r="I9" s="2963" t="s">
        <v>3387</v>
      </c>
      <c r="J9" s="135">
        <f>SUMIF(63:63,I9,64:64)-SUMIF(63:63,C9,64:64)+100</f>
        <v>100</v>
      </c>
      <c r="K9" s="2595"/>
      <c r="L9" s="1132"/>
      <c r="M9" s="1133"/>
      <c r="N9" s="1133"/>
      <c r="O9" s="1133"/>
      <c r="P9" s="3162" t="s">
        <v>2556</v>
      </c>
      <c r="Q9" s="1793"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8.8">
      <c r="A10" s="421"/>
      <c r="B10" s="422" t="s">
        <v>2558</v>
      </c>
      <c r="C10" s="423" t="s">
        <v>3386</v>
      </c>
      <c r="D10" s="136">
        <v>100</v>
      </c>
      <c r="E10" s="423" t="s">
        <v>3386</v>
      </c>
      <c r="F10" s="425">
        <f>SUMIF(65:65,E10,66:66)-SUMIF(65:65,C10,66:66)+100</f>
        <v>100</v>
      </c>
      <c r="G10" s="423" t="s">
        <v>3386</v>
      </c>
      <c r="H10" s="136">
        <f>SUMIF(65:65,G10,66:66)-SUMIF(65:65,C10,66:66)+100</f>
        <v>100</v>
      </c>
      <c r="I10" s="423" t="s">
        <v>3386</v>
      </c>
      <c r="J10" s="136">
        <f>SUMIF(65:65,I10,66:66)-SUMIF(65:65,C10,66:66)+100</f>
        <v>100</v>
      </c>
      <c r="K10" s="426">
        <v>1</v>
      </c>
      <c r="L10" s="1135"/>
      <c r="M10" s="1136"/>
      <c r="N10" s="1136"/>
      <c r="O10" s="1136"/>
      <c r="P10" s="3162"/>
      <c r="Q10" s="1793"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f>'土地比较法-住宅、综合'!C11</f>
        <v>1.77</v>
      </c>
      <c r="D11" s="136">
        <v>100</v>
      </c>
      <c r="E11" s="430">
        <v>1.77</v>
      </c>
      <c r="F11" s="425">
        <f>LOOKUP(E11,68:68,69:69)-LOOKUP(C11,68:68,69:69)+100</f>
        <v>100</v>
      </c>
      <c r="G11" s="429">
        <v>2.2000000000000002</v>
      </c>
      <c r="H11" s="136">
        <f>LOOKUP(G11,68:68,69:69)-LOOKUP(C11,68:68,69:69)+100</f>
        <v>97</v>
      </c>
      <c r="I11" s="429">
        <v>1.1000000000000001</v>
      </c>
      <c r="J11" s="136">
        <f>LOOKUP(I11,68:68,69:69)-LOOKUP(C11,68:68,69:69)+100</f>
        <v>100</v>
      </c>
      <c r="K11" s="426">
        <v>3</v>
      </c>
      <c r="L11" s="1138"/>
      <c r="M11" s="1131"/>
      <c r="N11" s="1131"/>
      <c r="O11" s="1131"/>
      <c r="P11" s="3162"/>
      <c r="Q11" s="1793" t="str">
        <f t="shared" si="6"/>
        <v>容积率</v>
      </c>
      <c r="R11" s="770" t="s">
        <v>21</v>
      </c>
      <c r="S11" s="771">
        <f t="shared" si="0"/>
        <v>100</v>
      </c>
      <c r="T11" s="770" t="s">
        <v>21</v>
      </c>
      <c r="U11" s="771">
        <f t="shared" si="1"/>
        <v>97</v>
      </c>
      <c r="V11" s="770" t="s">
        <v>21</v>
      </c>
      <c r="W11" s="771">
        <f t="shared" si="2"/>
        <v>100</v>
      </c>
      <c r="X11" s="772"/>
      <c r="Y11" s="3014"/>
      <c r="Z11" s="55" t="str">
        <f t="shared" si="7"/>
        <v>容积率</v>
      </c>
      <c r="AA11" s="773">
        <f t="shared" si="3"/>
        <v>1</v>
      </c>
      <c r="AB11" s="773">
        <f t="shared" si="4"/>
        <v>1.0309278350515463</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62"/>
      <c r="Q12" s="1793">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62"/>
      <c r="Q13" s="1793">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62"/>
      <c r="Q14" s="1793">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6.6">
      <c r="A15" s="440" t="s">
        <v>2560</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37" t="s">
        <v>2561</v>
      </c>
      <c r="Q15" s="1808" t="str">
        <f t="shared" si="6"/>
        <v>居住社区成熟度</v>
      </c>
      <c r="R15" s="774" t="s">
        <v>21</v>
      </c>
      <c r="S15" s="775">
        <f t="shared" si="0"/>
        <v>100</v>
      </c>
      <c r="T15" s="774" t="s">
        <v>21</v>
      </c>
      <c r="U15" s="775">
        <f t="shared" si="1"/>
        <v>100</v>
      </c>
      <c r="V15" s="774" t="s">
        <v>21</v>
      </c>
      <c r="W15" s="775">
        <f t="shared" si="2"/>
        <v>100</v>
      </c>
      <c r="X15" s="1811"/>
      <c r="Y15" s="3165" t="s">
        <v>2561</v>
      </c>
      <c r="Z15" s="1812" t="str">
        <f t="shared" si="7"/>
        <v>居住社区成熟度</v>
      </c>
      <c r="AA15" s="1809">
        <f t="shared" si="3"/>
        <v>1</v>
      </c>
      <c r="AB15" s="1809">
        <f t="shared" si="4"/>
        <v>1</v>
      </c>
      <c r="AC15" s="1809">
        <f t="shared" si="5"/>
        <v>1</v>
      </c>
    </row>
    <row r="16" spans="1:29" ht="15">
      <c r="A16" s="428"/>
      <c r="B16" s="446"/>
      <c r="C16" s="447" t="s">
        <v>3372</v>
      </c>
      <c r="D16" s="448"/>
      <c r="E16" s="447" t="s">
        <v>3372</v>
      </c>
      <c r="F16" s="448"/>
      <c r="G16" s="447" t="s">
        <v>3372</v>
      </c>
      <c r="H16" s="450"/>
      <c r="I16" s="447" t="s">
        <v>3372</v>
      </c>
      <c r="J16" s="448"/>
      <c r="K16" s="2602"/>
      <c r="L16" s="1140"/>
      <c r="M16" s="1131"/>
      <c r="N16" s="1131"/>
      <c r="O16" s="1131"/>
      <c r="P16" s="3238"/>
      <c r="Q16" s="1808"/>
      <c r="R16" s="774"/>
      <c r="S16" s="775"/>
      <c r="T16" s="774"/>
      <c r="U16" s="775"/>
      <c r="V16" s="774"/>
      <c r="W16" s="775"/>
      <c r="X16" s="1811"/>
      <c r="Y16" s="3166"/>
      <c r="Z16" s="1812"/>
      <c r="AA16" s="1809">
        <v>1</v>
      </c>
      <c r="AB16" s="1809">
        <v>1</v>
      </c>
      <c r="AC16" s="1809">
        <v>1</v>
      </c>
    </row>
    <row r="17" spans="1:29" ht="82.8">
      <c r="A17" s="428"/>
      <c r="B17" s="451" t="s">
        <v>2099</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38"/>
      <c r="Q17" s="1808" t="str">
        <f>B17</f>
        <v>交通便捷度</v>
      </c>
      <c r="R17" s="774" t="s">
        <v>21</v>
      </c>
      <c r="S17" s="775">
        <f>F17</f>
        <v>100</v>
      </c>
      <c r="T17" s="774" t="s">
        <v>21</v>
      </c>
      <c r="U17" s="775">
        <f>H17</f>
        <v>100</v>
      </c>
      <c r="V17" s="774" t="s">
        <v>21</v>
      </c>
      <c r="W17" s="775">
        <f>J17</f>
        <v>100</v>
      </c>
      <c r="X17" s="1811"/>
      <c r="Y17" s="3166"/>
      <c r="Z17" s="1812" t="str">
        <f>Q17</f>
        <v>交通便捷度</v>
      </c>
      <c r="AA17" s="1809">
        <f t="shared" si="3"/>
        <v>1</v>
      </c>
      <c r="AB17" s="1809">
        <f t="shared" si="4"/>
        <v>1</v>
      </c>
      <c r="AC17" s="1809">
        <f t="shared" si="5"/>
        <v>1</v>
      </c>
    </row>
    <row r="18" spans="1:29" ht="15">
      <c r="A18" s="428"/>
      <c r="B18" s="456"/>
      <c r="C18" s="2604" t="s">
        <v>3372</v>
      </c>
      <c r="D18" s="450"/>
      <c r="E18" s="2604" t="s">
        <v>3372</v>
      </c>
      <c r="F18" s="450"/>
      <c r="G18" s="2604" t="s">
        <v>3372</v>
      </c>
      <c r="H18" s="448"/>
      <c r="I18" s="2604" t="s">
        <v>3372</v>
      </c>
      <c r="J18" s="448"/>
      <c r="K18" s="2602"/>
      <c r="L18" s="1140"/>
      <c r="M18" s="1131"/>
      <c r="N18" s="1131"/>
      <c r="O18" s="1131"/>
      <c r="P18" s="3238"/>
      <c r="Q18" s="1808"/>
      <c r="R18" s="774"/>
      <c r="S18" s="775"/>
      <c r="T18" s="774"/>
      <c r="U18" s="775"/>
      <c r="V18" s="774"/>
      <c r="W18" s="775"/>
      <c r="X18" s="1811"/>
      <c r="Y18" s="3166"/>
      <c r="Z18" s="1812"/>
      <c r="AA18" s="1809">
        <v>1</v>
      </c>
      <c r="AB18" s="1809">
        <v>1</v>
      </c>
      <c r="AC18" s="1809">
        <v>1</v>
      </c>
    </row>
    <row r="19" spans="1:29" ht="41.4">
      <c r="A19" s="428"/>
      <c r="B19" s="451" t="s">
        <v>2097</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38"/>
      <c r="Q19" s="1808" t="str">
        <f>B19</f>
        <v>公共配套设施</v>
      </c>
      <c r="R19" s="774" t="s">
        <v>21</v>
      </c>
      <c r="S19" s="775">
        <f>F19</f>
        <v>100</v>
      </c>
      <c r="T19" s="774" t="s">
        <v>21</v>
      </c>
      <c r="U19" s="775">
        <f>H19</f>
        <v>100</v>
      </c>
      <c r="V19" s="774" t="s">
        <v>21</v>
      </c>
      <c r="W19" s="775">
        <f>J19</f>
        <v>100</v>
      </c>
      <c r="X19" s="1811"/>
      <c r="Y19" s="3166"/>
      <c r="Z19" s="1812" t="str">
        <f>Q19</f>
        <v>公共配套设施</v>
      </c>
      <c r="AA19" s="1809">
        <f t="shared" si="3"/>
        <v>1</v>
      </c>
      <c r="AB19" s="1809">
        <f t="shared" si="4"/>
        <v>1</v>
      </c>
      <c r="AC19" s="1809">
        <f t="shared" si="5"/>
        <v>1</v>
      </c>
    </row>
    <row r="20" spans="1:29" ht="15">
      <c r="A20" s="428"/>
      <c r="B20" s="456"/>
      <c r="C20" s="447" t="s">
        <v>3372</v>
      </c>
      <c r="D20" s="448"/>
      <c r="E20" s="447" t="s">
        <v>3372</v>
      </c>
      <c r="F20" s="448"/>
      <c r="G20" s="447" t="s">
        <v>3372</v>
      </c>
      <c r="H20" s="448"/>
      <c r="I20" s="447" t="s">
        <v>3372</v>
      </c>
      <c r="J20" s="448"/>
      <c r="K20" s="2602"/>
      <c r="L20" s="1140"/>
      <c r="M20" s="1131"/>
      <c r="N20" s="1131"/>
      <c r="O20" s="1131"/>
      <c r="P20" s="3238"/>
      <c r="Q20" s="1808"/>
      <c r="R20" s="774"/>
      <c r="S20" s="775"/>
      <c r="T20" s="774"/>
      <c r="U20" s="775"/>
      <c r="V20" s="774"/>
      <c r="W20" s="775"/>
      <c r="X20" s="1811"/>
      <c r="Y20" s="3166"/>
      <c r="Z20" s="1812"/>
      <c r="AA20" s="1809">
        <v>1</v>
      </c>
      <c r="AB20" s="1809">
        <v>1</v>
      </c>
      <c r="AC20" s="1809">
        <v>1</v>
      </c>
    </row>
    <row r="21" spans="1:29" ht="27.6">
      <c r="A21" s="428"/>
      <c r="B21" s="1384" t="s">
        <v>2100</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38"/>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4"/>
      <c r="C22" s="2604" t="s">
        <v>3374</v>
      </c>
      <c r="D22" s="448"/>
      <c r="E22" s="2604" t="s">
        <v>3374</v>
      </c>
      <c r="F22" s="448"/>
      <c r="G22" s="2604" t="s">
        <v>3374</v>
      </c>
      <c r="H22" s="448"/>
      <c r="I22" s="2604" t="s">
        <v>3374</v>
      </c>
      <c r="J22" s="448"/>
      <c r="K22" s="2608"/>
      <c r="L22" s="1140"/>
      <c r="M22" s="1131"/>
      <c r="N22" s="1131"/>
      <c r="O22" s="1131"/>
      <c r="P22" s="3238"/>
      <c r="Q22" s="1808"/>
      <c r="R22" s="774"/>
      <c r="S22" s="775"/>
      <c r="T22" s="774"/>
      <c r="U22" s="775"/>
      <c r="V22" s="774"/>
      <c r="W22" s="775"/>
      <c r="X22" s="1811"/>
      <c r="Y22" s="3166"/>
      <c r="Z22" s="1812"/>
      <c r="AA22" s="1809">
        <v>1</v>
      </c>
      <c r="AB22" s="1809">
        <v>1</v>
      </c>
      <c r="AC22" s="1809">
        <v>1</v>
      </c>
    </row>
    <row r="23" spans="1:29" ht="55.2">
      <c r="A23" s="428"/>
      <c r="B23" s="451" t="s">
        <v>2104</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38"/>
      <c r="Q23" s="1808" t="str">
        <f>B23</f>
        <v>自然及人文环境</v>
      </c>
      <c r="R23" s="774" t="s">
        <v>21</v>
      </c>
      <c r="S23" s="775">
        <f>F23</f>
        <v>100</v>
      </c>
      <c r="T23" s="774" t="s">
        <v>21</v>
      </c>
      <c r="U23" s="775">
        <f>H23</f>
        <v>100</v>
      </c>
      <c r="V23" s="774" t="s">
        <v>21</v>
      </c>
      <c r="W23" s="775">
        <f>J23</f>
        <v>100</v>
      </c>
      <c r="X23" s="1811"/>
      <c r="Y23" s="3166"/>
      <c r="Z23" s="1812" t="str">
        <f>Q23</f>
        <v>自然及人文环境</v>
      </c>
      <c r="AA23" s="1809">
        <f>D23/F23</f>
        <v>1</v>
      </c>
      <c r="AB23" s="1809">
        <f>D23/H23</f>
        <v>1</v>
      </c>
      <c r="AC23" s="1809">
        <f>D23/J23</f>
        <v>1</v>
      </c>
    </row>
    <row r="24" spans="1:29" ht="15">
      <c r="A24" s="428"/>
      <c r="B24" s="456"/>
      <c r="C24" s="447" t="s">
        <v>3372</v>
      </c>
      <c r="D24" s="448"/>
      <c r="E24" s="447" t="s">
        <v>3372</v>
      </c>
      <c r="F24" s="448"/>
      <c r="G24" s="447" t="s">
        <v>3372</v>
      </c>
      <c r="H24" s="448"/>
      <c r="I24" s="447" t="s">
        <v>3372</v>
      </c>
      <c r="J24" s="448"/>
      <c r="K24" s="2602"/>
      <c r="L24" s="1140"/>
      <c r="M24" s="1131"/>
      <c r="N24" s="1131"/>
      <c r="O24" s="1131"/>
      <c r="P24" s="3238"/>
      <c r="Q24" s="1808"/>
      <c r="R24" s="774"/>
      <c r="S24" s="775"/>
      <c r="T24" s="774"/>
      <c r="U24" s="775"/>
      <c r="V24" s="774"/>
      <c r="W24" s="775"/>
      <c r="X24" s="1811"/>
      <c r="Y24" s="3166"/>
      <c r="Z24" s="1812"/>
      <c r="AA24" s="1809">
        <v>1</v>
      </c>
      <c r="AB24" s="1809">
        <v>1</v>
      </c>
      <c r="AC24" s="1809">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38"/>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66"/>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38"/>
      <c r="Q26" s="1808" t="str">
        <f t="shared" si="11"/>
        <v>朝向</v>
      </c>
      <c r="R26" s="774" t="s">
        <v>21</v>
      </c>
      <c r="S26" s="775">
        <f t="shared" si="12"/>
        <v>100</v>
      </c>
      <c r="T26" s="774" t="s">
        <v>21</v>
      </c>
      <c r="U26" s="775">
        <f t="shared" si="13"/>
        <v>100</v>
      </c>
      <c r="V26" s="774" t="s">
        <v>21</v>
      </c>
      <c r="W26" s="775">
        <f t="shared" si="14"/>
        <v>100</v>
      </c>
      <c r="X26" s="1811"/>
      <c r="Y26" s="3166"/>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38"/>
      <c r="Q27" s="1793">
        <f t="shared" si="11"/>
        <v>111</v>
      </c>
      <c r="R27" s="770" t="s">
        <v>21</v>
      </c>
      <c r="S27" s="771">
        <f t="shared" si="12"/>
        <v>100</v>
      </c>
      <c r="T27" s="770" t="s">
        <v>21</v>
      </c>
      <c r="U27" s="771">
        <f t="shared" si="13"/>
        <v>100</v>
      </c>
      <c r="V27" s="770" t="s">
        <v>21</v>
      </c>
      <c r="W27" s="771">
        <f t="shared" si="14"/>
        <v>100</v>
      </c>
      <c r="X27" s="772"/>
      <c r="Y27" s="3166"/>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38"/>
      <c r="Q28" s="1808">
        <f t="shared" si="11"/>
        <v>111</v>
      </c>
      <c r="R28" s="774" t="s">
        <v>21</v>
      </c>
      <c r="S28" s="775">
        <f t="shared" si="12"/>
        <v>100</v>
      </c>
      <c r="T28" s="774" t="s">
        <v>21</v>
      </c>
      <c r="U28" s="775">
        <f t="shared" si="13"/>
        <v>100</v>
      </c>
      <c r="V28" s="774" t="s">
        <v>21</v>
      </c>
      <c r="W28" s="775">
        <f t="shared" si="14"/>
        <v>100</v>
      </c>
      <c r="X28" s="1811"/>
      <c r="Y28" s="3166"/>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38"/>
      <c r="Q29" s="1808">
        <f t="shared" si="11"/>
        <v>111</v>
      </c>
      <c r="R29" s="774" t="s">
        <v>21</v>
      </c>
      <c r="S29" s="775">
        <f t="shared" si="12"/>
        <v>100</v>
      </c>
      <c r="T29" s="774" t="s">
        <v>21</v>
      </c>
      <c r="U29" s="775">
        <f t="shared" si="13"/>
        <v>100</v>
      </c>
      <c r="V29" s="774" t="s">
        <v>21</v>
      </c>
      <c r="W29" s="775">
        <f t="shared" si="14"/>
        <v>100</v>
      </c>
      <c r="X29" s="1811"/>
      <c r="Y29" s="3166"/>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38"/>
      <c r="Q30" s="1808">
        <f t="shared" si="11"/>
        <v>111</v>
      </c>
      <c r="R30" s="774" t="s">
        <v>21</v>
      </c>
      <c r="S30" s="775">
        <f t="shared" si="12"/>
        <v>100</v>
      </c>
      <c r="T30" s="774" t="s">
        <v>21</v>
      </c>
      <c r="U30" s="775">
        <f t="shared" si="13"/>
        <v>100</v>
      </c>
      <c r="V30" s="774" t="s">
        <v>21</v>
      </c>
      <c r="W30" s="775">
        <f t="shared" si="14"/>
        <v>100</v>
      </c>
      <c r="X30" s="1811"/>
      <c r="Y30" s="3166"/>
      <c r="Z30" s="1812">
        <f t="shared" si="18"/>
        <v>111</v>
      </c>
      <c r="AA30" s="1809">
        <f t="shared" si="15"/>
        <v>1</v>
      </c>
      <c r="AB30" s="1809">
        <f t="shared" si="16"/>
        <v>1</v>
      </c>
      <c r="AC30" s="1809">
        <f t="shared" si="17"/>
        <v>1</v>
      </c>
    </row>
    <row r="31" spans="1:29" ht="15.6"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38"/>
      <c r="Q31" s="1808">
        <f t="shared" si="11"/>
        <v>111</v>
      </c>
      <c r="R31" s="774" t="s">
        <v>21</v>
      </c>
      <c r="S31" s="775">
        <f t="shared" si="12"/>
        <v>100</v>
      </c>
      <c r="T31" s="774" t="s">
        <v>21</v>
      </c>
      <c r="U31" s="775">
        <f t="shared" si="13"/>
        <v>100</v>
      </c>
      <c r="V31" s="774" t="s">
        <v>21</v>
      </c>
      <c r="W31" s="775">
        <f t="shared" si="14"/>
        <v>100</v>
      </c>
      <c r="X31" s="1811"/>
      <c r="Y31" s="3166"/>
      <c r="Z31" s="1812">
        <f t="shared" si="18"/>
        <v>111</v>
      </c>
      <c r="AA31" s="1809">
        <f t="shared" si="15"/>
        <v>1</v>
      </c>
      <c r="AB31" s="1809">
        <f t="shared" si="16"/>
        <v>1</v>
      </c>
      <c r="AC31" s="1809">
        <f t="shared" si="17"/>
        <v>1</v>
      </c>
    </row>
    <row r="32" spans="1:29" ht="15">
      <c r="A32" s="440" t="s">
        <v>2564</v>
      </c>
      <c r="B32" s="71" t="s">
        <v>2565</v>
      </c>
      <c r="C32" s="2613" t="s">
        <v>3430</v>
      </c>
      <c r="D32" s="467">
        <v>100</v>
      </c>
      <c r="E32" s="2613" t="s">
        <v>3455</v>
      </c>
      <c r="F32" s="461">
        <f>SUMIF(100:100,E32,101:101)-SUMIF(100:100,C32,101:101)+100</f>
        <v>96</v>
      </c>
      <c r="G32" s="2613" t="s">
        <v>3455</v>
      </c>
      <c r="H32" s="467">
        <f>SUMIF(100:100,G32,101:101)-SUMIF(100:100,C32,101:101)+100</f>
        <v>96</v>
      </c>
      <c r="I32" s="2613" t="s">
        <v>3430</v>
      </c>
      <c r="J32" s="435">
        <f>SUMIF(100:100,I32,101:101)-SUMIF(100:100,C32,101:101)+100</f>
        <v>100</v>
      </c>
      <c r="K32" s="426">
        <v>4</v>
      </c>
      <c r="L32" s="1140"/>
      <c r="M32" s="1131"/>
      <c r="N32" s="1131"/>
      <c r="O32" s="1131"/>
      <c r="P32" s="3233" t="s">
        <v>2566</v>
      </c>
      <c r="Q32" s="1808" t="str">
        <f t="shared" si="11"/>
        <v>建筑类型</v>
      </c>
      <c r="R32" s="774" t="s">
        <v>21</v>
      </c>
      <c r="S32" s="775">
        <f t="shared" si="12"/>
        <v>96</v>
      </c>
      <c r="T32" s="774" t="s">
        <v>21</v>
      </c>
      <c r="U32" s="775">
        <f t="shared" si="13"/>
        <v>96</v>
      </c>
      <c r="V32" s="774" t="s">
        <v>21</v>
      </c>
      <c r="W32" s="775">
        <f t="shared" si="14"/>
        <v>100</v>
      </c>
      <c r="X32" s="1811"/>
      <c r="Y32" s="3168" t="s">
        <v>2566</v>
      </c>
      <c r="Z32" s="1812" t="str">
        <f t="shared" si="18"/>
        <v>建筑类型</v>
      </c>
      <c r="AA32" s="1809">
        <f t="shared" si="15"/>
        <v>1.0416666666666667</v>
      </c>
      <c r="AB32" s="1809">
        <f t="shared" si="16"/>
        <v>1.0416666666666667</v>
      </c>
      <c r="AC32" s="1809">
        <f t="shared" si="17"/>
        <v>1</v>
      </c>
    </row>
    <row r="33" spans="1:29" s="471" customFormat="1" ht="15">
      <c r="A33" s="468"/>
      <c r="B33" s="422" t="s">
        <v>2567</v>
      </c>
      <c r="C33" s="469">
        <f>'数据-基础表'!B43</f>
        <v>118850.52</v>
      </c>
      <c r="D33" s="136">
        <v>100</v>
      </c>
      <c r="E33" s="430">
        <v>600000</v>
      </c>
      <c r="F33" s="425">
        <f>LOOKUP(E33,103:103,104:104)-LOOKUP(C33,103:103,104:104)+100</f>
        <v>102.5</v>
      </c>
      <c r="G33" s="429">
        <v>283730</v>
      </c>
      <c r="H33" s="136">
        <f>LOOKUP(G33,103:103,104:104)-LOOKUP(C33,103:103,104:104)+100</f>
        <v>100.5</v>
      </c>
      <c r="I33" s="430">
        <v>41586</v>
      </c>
      <c r="J33" s="136">
        <f>LOOKUP(I33,103:103,104:104)-LOOKUP(C33,103:103,104:104)+100</f>
        <v>99.5</v>
      </c>
      <c r="K33" s="2597"/>
      <c r="L33" s="1138"/>
      <c r="M33" s="1141"/>
      <c r="N33" s="1141"/>
      <c r="O33" s="1141"/>
      <c r="P33" s="3234"/>
      <c r="Q33" s="776" t="str">
        <f t="shared" si="11"/>
        <v>项目建筑规模</v>
      </c>
      <c r="R33" s="777" t="s">
        <v>21</v>
      </c>
      <c r="S33" s="778">
        <f t="shared" si="12"/>
        <v>102.5</v>
      </c>
      <c r="T33" s="777" t="s">
        <v>21</v>
      </c>
      <c r="U33" s="778">
        <f t="shared" si="13"/>
        <v>100.5</v>
      </c>
      <c r="V33" s="777" t="s">
        <v>21</v>
      </c>
      <c r="W33" s="778">
        <f t="shared" si="14"/>
        <v>99.5</v>
      </c>
      <c r="X33" s="779"/>
      <c r="Y33" s="3168"/>
      <c r="Z33" s="780" t="str">
        <f t="shared" si="18"/>
        <v>项目建筑规模</v>
      </c>
      <c r="AA33" s="1809">
        <f t="shared" si="15"/>
        <v>0.97560975609756095</v>
      </c>
      <c r="AB33" s="1809">
        <f t="shared" si="16"/>
        <v>0.99502487562189057</v>
      </c>
      <c r="AC33" s="1809">
        <f t="shared" si="17"/>
        <v>1.0050251256281406</v>
      </c>
    </row>
    <row r="34" spans="1:29" ht="15">
      <c r="A34" s="472"/>
      <c r="B34" s="422" t="s">
        <v>2568</v>
      </c>
      <c r="C34" s="2614" t="s">
        <v>3412</v>
      </c>
      <c r="D34" s="435">
        <v>100</v>
      </c>
      <c r="E34" s="2614" t="s">
        <v>3412</v>
      </c>
      <c r="F34" s="461">
        <f>SUMIF(105:105,E34,106:106)-SUMIF(105:105,C34,106:106)+100</f>
        <v>100</v>
      </c>
      <c r="G34" s="2614" t="s">
        <v>3412</v>
      </c>
      <c r="H34" s="435">
        <f>SUMIF(105:105,G34,106:106)-SUMIF(105:105,C34,106:106)+100</f>
        <v>100</v>
      </c>
      <c r="I34" s="2614" t="s">
        <v>3412</v>
      </c>
      <c r="J34" s="435">
        <f>SUMIF(105:105,I34,106:106)-SUMIF(105:105,C34,106:106)+100</f>
        <v>100</v>
      </c>
      <c r="K34" s="426">
        <v>1</v>
      </c>
      <c r="L34" s="1140"/>
      <c r="M34" s="1131"/>
      <c r="N34" s="1131"/>
      <c r="O34" s="1131"/>
      <c r="P34" s="3234"/>
      <c r="Q34" s="1808" t="str">
        <f t="shared" si="11"/>
        <v>建筑结构</v>
      </c>
      <c r="R34" s="774" t="s">
        <v>21</v>
      </c>
      <c r="S34" s="775">
        <f t="shared" si="12"/>
        <v>100</v>
      </c>
      <c r="T34" s="774" t="s">
        <v>21</v>
      </c>
      <c r="U34" s="775">
        <f t="shared" si="13"/>
        <v>100</v>
      </c>
      <c r="V34" s="774" t="s">
        <v>21</v>
      </c>
      <c r="W34" s="775">
        <f t="shared" si="14"/>
        <v>100</v>
      </c>
      <c r="X34" s="1811"/>
      <c r="Y34" s="3168"/>
      <c r="Z34" s="1812" t="str">
        <f t="shared" si="18"/>
        <v>建筑结构</v>
      </c>
      <c r="AA34" s="1809">
        <f t="shared" si="15"/>
        <v>1</v>
      </c>
      <c r="AB34" s="1809">
        <f t="shared" si="16"/>
        <v>1</v>
      </c>
      <c r="AC34" s="1809">
        <f t="shared" si="17"/>
        <v>1</v>
      </c>
    </row>
    <row r="35" spans="1:29" ht="15">
      <c r="A35" s="472"/>
      <c r="B35" s="422" t="s">
        <v>2569</v>
      </c>
      <c r="C35" s="2609" t="s">
        <v>3457</v>
      </c>
      <c r="D35" s="435">
        <v>100</v>
      </c>
      <c r="E35" s="2609" t="s">
        <v>3373</v>
      </c>
      <c r="F35" s="461">
        <f>SUMIF(107:107,E35,108:108)-SUMIF(107:107,C35,108:108)+100</f>
        <v>96</v>
      </c>
      <c r="G35" s="2609" t="s">
        <v>3372</v>
      </c>
      <c r="H35" s="435">
        <f>SUMIF(107:107,G35,108:108)-SUMIF(107:107,C35,108:108)+100</f>
        <v>98</v>
      </c>
      <c r="I35" s="2609" t="s">
        <v>3372</v>
      </c>
      <c r="J35" s="435">
        <f>SUMIF(107:107,I35,108:108)-SUMIF(107:107,C35,108:108)+100</f>
        <v>98</v>
      </c>
      <c r="K35" s="426">
        <v>2</v>
      </c>
      <c r="L35" s="1140"/>
      <c r="M35" s="1131"/>
      <c r="N35" s="1131"/>
      <c r="O35" s="1131"/>
      <c r="P35" s="3234"/>
      <c r="Q35" s="1808" t="str">
        <f t="shared" si="11"/>
        <v>建筑品质</v>
      </c>
      <c r="R35" s="774" t="s">
        <v>21</v>
      </c>
      <c r="S35" s="775">
        <f t="shared" si="12"/>
        <v>96</v>
      </c>
      <c r="T35" s="774" t="s">
        <v>21</v>
      </c>
      <c r="U35" s="775">
        <f t="shared" si="13"/>
        <v>98</v>
      </c>
      <c r="V35" s="774" t="s">
        <v>21</v>
      </c>
      <c r="W35" s="775">
        <f t="shared" si="14"/>
        <v>98</v>
      </c>
      <c r="X35" s="1811"/>
      <c r="Y35" s="3168"/>
      <c r="Z35" s="1812" t="str">
        <f t="shared" si="18"/>
        <v>建筑品质</v>
      </c>
      <c r="AA35" s="1809">
        <f t="shared" si="15"/>
        <v>1.0416666666666667</v>
      </c>
      <c r="AB35" s="1809">
        <f t="shared" si="16"/>
        <v>1.0204081632653061</v>
      </c>
      <c r="AC35" s="1809">
        <f t="shared" si="17"/>
        <v>1.0204081632653061</v>
      </c>
    </row>
    <row r="36" spans="1:29" ht="15">
      <c r="A36" s="472"/>
      <c r="B36" s="422" t="s">
        <v>2570</v>
      </c>
      <c r="C36" s="2609" t="s">
        <v>3413</v>
      </c>
      <c r="D36" s="435">
        <v>100</v>
      </c>
      <c r="E36" s="2609" t="s">
        <v>3413</v>
      </c>
      <c r="F36" s="461">
        <f>SUMIF(109:109,E36,110:110)-SUMIF(109:109,C36,110:110)+100</f>
        <v>100</v>
      </c>
      <c r="G36" s="2609" t="s">
        <v>3413</v>
      </c>
      <c r="H36" s="435">
        <f>SUMIF(109:109,G36,110:110)-SUMIF(109:109,C36,110:110)+100</f>
        <v>100</v>
      </c>
      <c r="I36" s="2609" t="s">
        <v>3413</v>
      </c>
      <c r="J36" s="435">
        <f>SUMIF(109:109,I36,110:110)-SUMIF(109:109,C36,110:110)+100</f>
        <v>100</v>
      </c>
      <c r="K36" s="426">
        <v>2</v>
      </c>
      <c r="L36" s="1140"/>
      <c r="M36" s="1131"/>
      <c r="N36" s="1131"/>
      <c r="O36" s="1131"/>
      <c r="P36" s="3234"/>
      <c r="Q36" s="1808" t="str">
        <f t="shared" si="11"/>
        <v>公共部分装修</v>
      </c>
      <c r="R36" s="774" t="s">
        <v>21</v>
      </c>
      <c r="S36" s="775">
        <f t="shared" si="12"/>
        <v>100</v>
      </c>
      <c r="T36" s="774" t="s">
        <v>21</v>
      </c>
      <c r="U36" s="775">
        <f t="shared" si="13"/>
        <v>100</v>
      </c>
      <c r="V36" s="774" t="s">
        <v>21</v>
      </c>
      <c r="W36" s="775">
        <f t="shared" si="14"/>
        <v>100</v>
      </c>
      <c r="X36" s="1811"/>
      <c r="Y36" s="3168"/>
      <c r="Z36" s="1812" t="str">
        <f t="shared" si="18"/>
        <v>公共部分装修</v>
      </c>
      <c r="AA36" s="1809">
        <f t="shared" si="15"/>
        <v>1</v>
      </c>
      <c r="AB36" s="1809">
        <f t="shared" si="16"/>
        <v>1</v>
      </c>
      <c r="AC36" s="1809">
        <f t="shared" si="17"/>
        <v>1</v>
      </c>
    </row>
    <row r="37" spans="1:29" s="117" customFormat="1" ht="15">
      <c r="A37" s="473"/>
      <c r="B37" s="422" t="s">
        <v>2571</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4"/>
      <c r="Q37" s="1793" t="str">
        <f t="shared" si="11"/>
        <v>成新度</v>
      </c>
      <c r="R37" s="770" t="s">
        <v>21</v>
      </c>
      <c r="S37" s="771">
        <f t="shared" si="12"/>
        <v>100</v>
      </c>
      <c r="T37" s="770" t="s">
        <v>21</v>
      </c>
      <c r="U37" s="771">
        <f t="shared" si="13"/>
        <v>100</v>
      </c>
      <c r="V37" s="770" t="s">
        <v>21</v>
      </c>
      <c r="W37" s="771">
        <f t="shared" si="14"/>
        <v>100</v>
      </c>
      <c r="X37" s="772"/>
      <c r="Y37" s="3168"/>
      <c r="Z37" s="55" t="str">
        <f t="shared" si="18"/>
        <v>成新度</v>
      </c>
      <c r="AA37" s="773">
        <f t="shared" si="15"/>
        <v>1</v>
      </c>
      <c r="AB37" s="773">
        <f t="shared" si="16"/>
        <v>1</v>
      </c>
      <c r="AC37" s="773">
        <f t="shared" si="17"/>
        <v>1</v>
      </c>
    </row>
    <row r="38" spans="1:29" ht="15">
      <c r="A38" s="472"/>
      <c r="B38" s="422" t="s">
        <v>2572</v>
      </c>
      <c r="C38" s="2609" t="s">
        <v>3372</v>
      </c>
      <c r="D38" s="435">
        <v>100</v>
      </c>
      <c r="E38" s="2609" t="s">
        <v>3372</v>
      </c>
      <c r="F38" s="461">
        <f>SUMIF(114:114,E38,115:115)-SUMIF(114:114,C38,115:115)+100</f>
        <v>100</v>
      </c>
      <c r="G38" s="2609" t="s">
        <v>3372</v>
      </c>
      <c r="H38" s="435">
        <f>SUMIF(114:114,G38,115:115)-SUMIF(114:114,C38,115:115)+100</f>
        <v>100</v>
      </c>
      <c r="I38" s="2609" t="s">
        <v>3372</v>
      </c>
      <c r="J38" s="435">
        <f>SUMIF(114:114,I38,115:115)-SUMIF(114:114,C38,115:115)+100</f>
        <v>100</v>
      </c>
      <c r="K38" s="426">
        <v>1</v>
      </c>
      <c r="L38" s="1140"/>
      <c r="M38" s="1131"/>
      <c r="N38" s="1131"/>
      <c r="O38" s="1131"/>
      <c r="P38" s="3234" t="s">
        <v>2566</v>
      </c>
      <c r="Q38" s="1808" t="str">
        <f t="shared" si="11"/>
        <v>物业管理</v>
      </c>
      <c r="R38" s="774" t="s">
        <v>21</v>
      </c>
      <c r="S38" s="775">
        <f t="shared" si="12"/>
        <v>100</v>
      </c>
      <c r="T38" s="774" t="s">
        <v>21</v>
      </c>
      <c r="U38" s="775">
        <f t="shared" si="13"/>
        <v>100</v>
      </c>
      <c r="V38" s="774" t="s">
        <v>21</v>
      </c>
      <c r="W38" s="775">
        <f t="shared" si="14"/>
        <v>100</v>
      </c>
      <c r="X38" s="1811"/>
      <c r="Y38" s="3168" t="s">
        <v>2566</v>
      </c>
      <c r="Z38" s="1812" t="str">
        <f t="shared" si="18"/>
        <v>物业管理</v>
      </c>
      <c r="AA38" s="1809">
        <f t="shared" si="15"/>
        <v>1</v>
      </c>
      <c r="AB38" s="1809">
        <f t="shared" si="16"/>
        <v>1</v>
      </c>
      <c r="AC38" s="1809">
        <f t="shared" si="17"/>
        <v>1</v>
      </c>
    </row>
    <row r="39" spans="1:29" ht="15">
      <c r="A39" s="472"/>
      <c r="B39" s="422" t="s">
        <v>2573</v>
      </c>
      <c r="C39" s="2609" t="s">
        <v>3374</v>
      </c>
      <c r="D39" s="435">
        <v>100</v>
      </c>
      <c r="E39" s="2609" t="s">
        <v>3374</v>
      </c>
      <c r="F39" s="461">
        <f>SUMIF(116:116,E39,117:117)-SUMIF(116:116,C39,117:117)+100</f>
        <v>100</v>
      </c>
      <c r="G39" s="2609" t="s">
        <v>3374</v>
      </c>
      <c r="H39" s="435">
        <f>SUMIF(116:116,G39,117:117)-SUMIF(116:116,C39,117:117)+100</f>
        <v>100</v>
      </c>
      <c r="I39" s="2609" t="s">
        <v>3374</v>
      </c>
      <c r="J39" s="435">
        <f>SUMIF(116:116,I39,117:117)-SUMIF(116:116,C39,117:117)+100</f>
        <v>100</v>
      </c>
      <c r="K39" s="426">
        <v>1</v>
      </c>
      <c r="L39" s="1140"/>
      <c r="M39" s="1131"/>
      <c r="N39" s="1131"/>
      <c r="O39" s="1131"/>
      <c r="P39" s="3234"/>
      <c r="Q39" s="1808" t="str">
        <f t="shared" si="11"/>
        <v>市政基础设施</v>
      </c>
      <c r="R39" s="774" t="s">
        <v>21</v>
      </c>
      <c r="S39" s="775">
        <f t="shared" si="12"/>
        <v>100</v>
      </c>
      <c r="T39" s="774" t="s">
        <v>21</v>
      </c>
      <c r="U39" s="775">
        <f t="shared" si="13"/>
        <v>100</v>
      </c>
      <c r="V39" s="774" t="s">
        <v>21</v>
      </c>
      <c r="W39" s="775">
        <f t="shared" si="14"/>
        <v>100</v>
      </c>
      <c r="X39" s="1811"/>
      <c r="Y39" s="3168"/>
      <c r="Z39" s="1812" t="str">
        <f t="shared" si="18"/>
        <v>市政基础设施</v>
      </c>
      <c r="AA39" s="1809">
        <f t="shared" si="15"/>
        <v>1</v>
      </c>
      <c r="AB39" s="1809">
        <f t="shared" si="16"/>
        <v>1</v>
      </c>
      <c r="AC39" s="1809">
        <f t="shared" si="17"/>
        <v>1</v>
      </c>
    </row>
    <row r="40" spans="1:29" ht="15">
      <c r="A40" s="472"/>
      <c r="B40" s="422" t="s">
        <v>2574</v>
      </c>
      <c r="C40" s="2609" t="s">
        <v>3414</v>
      </c>
      <c r="D40" s="435">
        <v>100</v>
      </c>
      <c r="E40" s="2609" t="s">
        <v>3414</v>
      </c>
      <c r="F40" s="461">
        <f>SUMIF(118:118,E40,119:119)-SUMIF(118:118,C40,119:119)+100</f>
        <v>100</v>
      </c>
      <c r="G40" s="2609" t="s">
        <v>3414</v>
      </c>
      <c r="H40" s="435">
        <f>SUMIF(118:118,G40,119:119)-SUMIF(118:118,C40,119:119)+100</f>
        <v>100</v>
      </c>
      <c r="I40" s="2609" t="s">
        <v>3414</v>
      </c>
      <c r="J40" s="435">
        <f>SUMIF(118:118,I40,119:119)-SUMIF(118:118,C40,119:119)+100</f>
        <v>100</v>
      </c>
      <c r="K40" s="426">
        <v>2</v>
      </c>
      <c r="L40" s="1140"/>
      <c r="M40" s="1131"/>
      <c r="N40" s="1131"/>
      <c r="O40" s="1131"/>
      <c r="P40" s="3234"/>
      <c r="Q40" s="1808" t="str">
        <f t="shared" si="11"/>
        <v>房型</v>
      </c>
      <c r="R40" s="774" t="s">
        <v>21</v>
      </c>
      <c r="S40" s="775">
        <f t="shared" si="12"/>
        <v>100</v>
      </c>
      <c r="T40" s="774" t="s">
        <v>21</v>
      </c>
      <c r="U40" s="775">
        <f t="shared" si="13"/>
        <v>100</v>
      </c>
      <c r="V40" s="774" t="s">
        <v>21</v>
      </c>
      <c r="W40" s="775">
        <f t="shared" si="14"/>
        <v>100</v>
      </c>
      <c r="X40" s="1811"/>
      <c r="Y40" s="3168"/>
      <c r="Z40" s="1812" t="str">
        <f t="shared" si="18"/>
        <v>房型</v>
      </c>
      <c r="AA40" s="1809">
        <f t="shared" si="15"/>
        <v>1</v>
      </c>
      <c r="AB40" s="1809">
        <f t="shared" si="16"/>
        <v>1</v>
      </c>
      <c r="AC40" s="1809">
        <f t="shared" si="17"/>
        <v>1</v>
      </c>
    </row>
    <row r="41" spans="1:29" s="471" customFormat="1" ht="28.8">
      <c r="A41" s="468"/>
      <c r="B41" s="422" t="s">
        <v>2575</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7"/>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1809">
        <f t="shared" si="15"/>
        <v>1</v>
      </c>
      <c r="AB41" s="1809">
        <f t="shared" si="16"/>
        <v>1</v>
      </c>
      <c r="AC41" s="1809">
        <f t="shared" si="17"/>
        <v>1</v>
      </c>
    </row>
    <row r="42" spans="1:29" ht="15">
      <c r="A42" s="472"/>
      <c r="B42" s="422" t="s">
        <v>2576</v>
      </c>
      <c r="C42" s="2609" t="s">
        <v>3413</v>
      </c>
      <c r="D42" s="435">
        <v>100</v>
      </c>
      <c r="E42" s="2609" t="s">
        <v>3415</v>
      </c>
      <c r="F42" s="461">
        <f>SUMIF(122:122,E42,123:123)-SUMIF(122:122,C42,123:123)+100</f>
        <v>91</v>
      </c>
      <c r="G42" s="2609" t="s">
        <v>3415</v>
      </c>
      <c r="H42" s="435">
        <f>SUMIF(122:122,G42,123:123)-SUMIF(122:122,C42,123:123)+100</f>
        <v>91</v>
      </c>
      <c r="I42" s="2609" t="s">
        <v>3415</v>
      </c>
      <c r="J42" s="435">
        <f>SUMIF(122:122,I42,123:123)-SUMIF(122:122,C42,123:123)+100</f>
        <v>91</v>
      </c>
      <c r="K42" s="426">
        <v>3</v>
      </c>
      <c r="L42" s="1140"/>
      <c r="M42" s="1131"/>
      <c r="N42" s="1131"/>
      <c r="O42" s="1131"/>
      <c r="P42" s="3234"/>
      <c r="Q42" s="1808" t="str">
        <f t="shared" si="11"/>
        <v>内部装修</v>
      </c>
      <c r="R42" s="774" t="s">
        <v>21</v>
      </c>
      <c r="S42" s="775">
        <f t="shared" si="12"/>
        <v>91</v>
      </c>
      <c r="T42" s="774" t="s">
        <v>21</v>
      </c>
      <c r="U42" s="775">
        <f t="shared" si="13"/>
        <v>91</v>
      </c>
      <c r="V42" s="774" t="s">
        <v>21</v>
      </c>
      <c r="W42" s="775">
        <f t="shared" si="14"/>
        <v>91</v>
      </c>
      <c r="X42" s="1811"/>
      <c r="Y42" s="3168"/>
      <c r="Z42" s="1812" t="str">
        <f t="shared" si="18"/>
        <v>内部装修</v>
      </c>
      <c r="AA42" s="1809">
        <f t="shared" si="15"/>
        <v>1.098901098901099</v>
      </c>
      <c r="AB42" s="1809">
        <f t="shared" si="16"/>
        <v>1.098901098901099</v>
      </c>
      <c r="AC42" s="1809">
        <f t="shared" si="17"/>
        <v>1.098901098901099</v>
      </c>
    </row>
    <row r="43" spans="1:29" ht="28.8">
      <c r="A43" s="472"/>
      <c r="B43" s="422" t="s">
        <v>2577</v>
      </c>
      <c r="C43" s="2609" t="s">
        <v>3372</v>
      </c>
      <c r="D43" s="435">
        <v>100</v>
      </c>
      <c r="E43" s="2609" t="s">
        <v>3372</v>
      </c>
      <c r="F43" s="461">
        <f>SUMIF(124:124,E43,125:125)-SUMIF(124:124,C43,125:125)+100</f>
        <v>100</v>
      </c>
      <c r="G43" s="2609" t="s">
        <v>3372</v>
      </c>
      <c r="H43" s="435">
        <f>SUMIF(124:124,G43,125:125)-SUMIF(124:124,C43,125:125)+100</f>
        <v>100</v>
      </c>
      <c r="I43" s="2609" t="s">
        <v>3372</v>
      </c>
      <c r="J43" s="435">
        <f>SUMIF(124:124,I43,125:125)-SUMIF(124:124,C43,125:125)+100</f>
        <v>100</v>
      </c>
      <c r="K43" s="426">
        <v>1</v>
      </c>
      <c r="L43" s="1140"/>
      <c r="M43" s="1131"/>
      <c r="N43" s="1131"/>
      <c r="O43" s="1131"/>
      <c r="P43" s="3234"/>
      <c r="Q43" s="1808" t="str">
        <f t="shared" si="11"/>
        <v>内部装修维护情况</v>
      </c>
      <c r="R43" s="774" t="s">
        <v>21</v>
      </c>
      <c r="S43" s="775">
        <f t="shared" si="12"/>
        <v>100</v>
      </c>
      <c r="T43" s="774" t="s">
        <v>21</v>
      </c>
      <c r="U43" s="775">
        <f t="shared" si="13"/>
        <v>100</v>
      </c>
      <c r="V43" s="774" t="s">
        <v>21</v>
      </c>
      <c r="W43" s="775">
        <f t="shared" si="14"/>
        <v>100</v>
      </c>
      <c r="X43" s="1811"/>
      <c r="Y43" s="3168"/>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34"/>
      <c r="Q44" s="1793">
        <f t="shared" si="11"/>
        <v>111</v>
      </c>
      <c r="R44" s="770" t="s">
        <v>21</v>
      </c>
      <c r="S44" s="771">
        <f t="shared" si="12"/>
        <v>100</v>
      </c>
      <c r="T44" s="770" t="s">
        <v>21</v>
      </c>
      <c r="U44" s="771">
        <f t="shared" si="13"/>
        <v>100</v>
      </c>
      <c r="V44" s="770" t="s">
        <v>21</v>
      </c>
      <c r="W44" s="771">
        <f t="shared" si="14"/>
        <v>100</v>
      </c>
      <c r="X44" s="772"/>
      <c r="Y44" s="316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34"/>
      <c r="Q45" s="1808">
        <f t="shared" si="11"/>
        <v>111</v>
      </c>
      <c r="R45" s="774" t="s">
        <v>21</v>
      </c>
      <c r="S45" s="775">
        <f t="shared" si="12"/>
        <v>100</v>
      </c>
      <c r="T45" s="774" t="s">
        <v>21</v>
      </c>
      <c r="U45" s="775">
        <f t="shared" si="13"/>
        <v>100</v>
      </c>
      <c r="V45" s="774" t="s">
        <v>21</v>
      </c>
      <c r="W45" s="775">
        <f t="shared" si="14"/>
        <v>100</v>
      </c>
      <c r="X45" s="1811"/>
      <c r="Y45" s="3168"/>
      <c r="Z45" s="1812">
        <f t="shared" si="18"/>
        <v>111</v>
      </c>
      <c r="AA45" s="1809">
        <f t="shared" si="15"/>
        <v>1</v>
      </c>
      <c r="AB45" s="1809">
        <f t="shared" si="16"/>
        <v>1</v>
      </c>
      <c r="AC45" s="1809">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35"/>
      <c r="Q46" s="1808">
        <f t="shared" si="11"/>
        <v>111</v>
      </c>
      <c r="R46" s="774" t="s">
        <v>20</v>
      </c>
      <c r="S46" s="775">
        <f t="shared" si="12"/>
        <v>100</v>
      </c>
      <c r="T46" s="774" t="s">
        <v>20</v>
      </c>
      <c r="U46" s="775">
        <f t="shared" si="13"/>
        <v>100</v>
      </c>
      <c r="V46" s="774" t="s">
        <v>20</v>
      </c>
      <c r="W46" s="775">
        <f t="shared" si="14"/>
        <v>100</v>
      </c>
      <c r="X46" s="1811"/>
      <c r="Y46" s="3236"/>
      <c r="Z46" s="1812">
        <f t="shared" si="18"/>
        <v>111</v>
      </c>
      <c r="AA46" s="1809">
        <f t="shared" si="15"/>
        <v>1</v>
      </c>
      <c r="AB46" s="1809">
        <f t="shared" si="16"/>
        <v>1</v>
      </c>
      <c r="AC46" s="1809">
        <f t="shared" si="17"/>
        <v>1</v>
      </c>
    </row>
    <row r="47" spans="1:29" ht="14.4">
      <c r="A47" s="479" t="s">
        <v>2578</v>
      </c>
      <c r="B47" s="480"/>
      <c r="C47" s="1406" t="s">
        <v>19</v>
      </c>
      <c r="D47" s="1407"/>
      <c r="E47" s="1408">
        <v>7500</v>
      </c>
      <c r="F47" s="1409"/>
      <c r="G47" s="1410">
        <v>8200</v>
      </c>
      <c r="H47" s="1411"/>
      <c r="I47" s="1408">
        <v>9000</v>
      </c>
      <c r="J47" s="1411"/>
      <c r="K47" s="2615"/>
      <c r="L47" s="1143"/>
      <c r="M47" s="1144"/>
      <c r="N47" s="1131"/>
      <c r="O47" s="1144"/>
      <c r="P47" s="3163" t="str">
        <f>A47</f>
        <v>成交单价（元/平方米）</v>
      </c>
      <c r="Q47" s="3163"/>
      <c r="R47" s="3232">
        <f>E47</f>
        <v>7500</v>
      </c>
      <c r="S47" s="3232"/>
      <c r="T47" s="3232">
        <f>G47</f>
        <v>8200</v>
      </c>
      <c r="U47" s="3232"/>
      <c r="V47" s="3232">
        <f>I47</f>
        <v>9000</v>
      </c>
      <c r="W47" s="3232"/>
      <c r="X47" s="759"/>
      <c r="Y47" s="781"/>
      <c r="Z47" s="759"/>
      <c r="AA47" s="759"/>
      <c r="AB47" s="759"/>
      <c r="AC47" s="759"/>
    </row>
    <row r="48" spans="1:29" ht="15" thickBot="1">
      <c r="A48" s="486" t="s">
        <v>2579</v>
      </c>
      <c r="B48" s="487"/>
      <c r="C48" s="1412">
        <f>R49</f>
        <v>9564</v>
      </c>
      <c r="D48" s="1413"/>
      <c r="E48" s="1414">
        <f>R48</f>
        <v>8725</v>
      </c>
      <c r="F48" s="1414"/>
      <c r="G48" s="1412">
        <f>T48</f>
        <v>9825</v>
      </c>
      <c r="H48" s="1413"/>
      <c r="I48" s="1414">
        <f>V48</f>
        <v>10143</v>
      </c>
      <c r="J48" s="1413"/>
      <c r="K48" s="2616"/>
      <c r="L48" s="1143"/>
      <c r="M48" s="1144"/>
      <c r="N48" s="1144"/>
      <c r="O48" s="1144"/>
      <c r="P48" s="3163" t="str">
        <f>A48</f>
        <v>比较价值（元/平方米）</v>
      </c>
      <c r="Q48" s="3163"/>
      <c r="R48" s="3232">
        <f>IF(F1="售价",ROUND(PRODUCT(R47,AA7:AA46),0),ROUND(PRODUCT(R47,AA7:AA46),1))</f>
        <v>8725</v>
      </c>
      <c r="S48" s="3232"/>
      <c r="T48" s="3232">
        <f>IF(F1="售价",ROUND(PRODUCT(T47,AB7:AB46),0),ROUND(PRODUCT(T47,AB7:AB46),1))</f>
        <v>9825</v>
      </c>
      <c r="U48" s="3232"/>
      <c r="V48" s="3232">
        <f>IF(F1="售价",ROUND(PRODUCT(V47,AC7:AC46),0),ROUND(PRODUCT(V47,AC7:AC46),1))</f>
        <v>10143</v>
      </c>
      <c r="W48" s="3232"/>
      <c r="X48" s="759"/>
      <c r="Y48" s="759"/>
      <c r="Z48" s="759"/>
      <c r="AA48" s="759"/>
      <c r="AB48" s="759"/>
      <c r="AC48" s="759"/>
    </row>
    <row r="49" spans="1:29" ht="15" thickBot="1">
      <c r="A49" s="492" t="s">
        <v>2580</v>
      </c>
      <c r="B49" s="493"/>
      <c r="C49" s="1415">
        <f>R49</f>
        <v>9564</v>
      </c>
      <c r="D49" s="1416"/>
      <c r="E49" s="1416"/>
      <c r="F49" s="1416"/>
      <c r="G49" s="1416"/>
      <c r="H49" s="1416"/>
      <c r="I49" s="1416"/>
      <c r="J49" s="1416"/>
      <c r="K49" s="2617"/>
      <c r="L49" s="1143"/>
      <c r="M49" s="1144"/>
      <c r="N49" s="1144"/>
      <c r="O49" s="1144"/>
      <c r="P49" s="3157" t="str">
        <f>A49</f>
        <v>估价对象XX用房的比较价值（楼面单价，元/平方米）</v>
      </c>
      <c r="Q49" s="3158"/>
      <c r="R49" s="3231">
        <f>IF(F1="售价",ROUND(AVERAGE(R48:V48),0),ROUND(AVERAGE(R48:V48),1))</f>
        <v>9564</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f>IF(E47&lt;E48,E48/E47-1,E47/E48-1)</f>
        <v>0.16333333333333333</v>
      </c>
      <c r="F52" s="500" t="str">
        <f>IF(OR(E52&gt;=0.3,E52&lt;=-0.3),"超过30%","")</f>
        <v/>
      </c>
      <c r="G52" s="499">
        <f>IF(G47&lt;G48,G48/G47-1,G47/G48-1)</f>
        <v>0.19817073170731714</v>
      </c>
      <c r="H52" s="500" t="str">
        <f>IF(OR(G52&gt;=0.3,G52&lt;=-0.3),"超过30%","")</f>
        <v/>
      </c>
      <c r="I52" s="499">
        <f>IF(I47&lt;I48,I48/I47-1,I47/I48-1)</f>
        <v>0.127</v>
      </c>
      <c r="J52" s="500" t="str">
        <f>IF(OR(I52&gt;=0.3,I52&lt;=-0.3),"超过30%","")</f>
        <v/>
      </c>
      <c r="K52" s="1105"/>
      <c r="L52" s="1106"/>
      <c r="M52" s="1144"/>
      <c r="N52" s="1144"/>
      <c r="O52" s="1144"/>
    </row>
    <row r="53" spans="1:29" ht="13.5" customHeight="1">
      <c r="A53" s="1144"/>
      <c r="B53" s="1144"/>
      <c r="C53" s="497" t="s">
        <v>2582</v>
      </c>
      <c r="D53" s="501"/>
      <c r="E53" s="499">
        <f>IF(E48&lt;G48,G48/E48-1,E48/G48-1)</f>
        <v>0.12607449856733521</v>
      </c>
      <c r="F53" s="500" t="str">
        <f>IF(OR(E53&gt;=0.2,E53&lt;=-0.2),"超过20%","")</f>
        <v/>
      </c>
      <c r="G53" s="499">
        <f>IF(G48&lt;I48,I48/G48-1,G48/I48-1)</f>
        <v>3.236641221374037E-2</v>
      </c>
      <c r="H53" s="500" t="str">
        <f>IF(OR(G53&gt;=0.2,G53&lt;=-0.2),"超过20%","")</f>
        <v/>
      </c>
      <c r="I53" s="499">
        <f>IF(I48&lt;E48,E48/I48-1,I48/E48-1)</f>
        <v>0.16252148997134674</v>
      </c>
      <c r="J53" s="500" t="str">
        <f>IF(OR(I53&gt;=0.2,I53&lt;=-0.2),"超过20%","")</f>
        <v/>
      </c>
      <c r="K53" s="1105"/>
      <c r="L53" s="1106"/>
      <c r="M53" s="1144"/>
      <c r="N53" s="1144"/>
      <c r="O53" s="1144"/>
    </row>
    <row r="54" spans="1:29" s="502" customFormat="1" ht="13.5" customHeight="1">
      <c r="A54" s="1145"/>
      <c r="B54" s="1145"/>
      <c r="C54" s="497" t="s">
        <v>2583</v>
      </c>
      <c r="D54" s="501"/>
      <c r="E54" s="499">
        <f>IF(E47&lt;G47,G47/E47-1,E47/G47-1)</f>
        <v>9.3333333333333268E-2</v>
      </c>
      <c r="F54" s="500" t="str">
        <f>IF(OR(E54&gt;=0.3,E54&lt;=-0.3),"超过30%","")</f>
        <v/>
      </c>
      <c r="G54" s="499">
        <f>IF(G47&lt;I47,I47/G47-1,G47/I47-1)</f>
        <v>9.7560975609756184E-2</v>
      </c>
      <c r="H54" s="500" t="str">
        <f>IF(OR(G54&gt;=0.3,G54&lt;=-0.3),"超过30%","")</f>
        <v/>
      </c>
      <c r="I54" s="499">
        <f>IF(I47&lt;E47,E47/I47-1,I47/E47-1)</f>
        <v>0.19999999999999996</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2.2" thickBot="1">
      <c r="A57" s="763" t="s">
        <v>2584</v>
      </c>
      <c r="B57" s="759"/>
      <c r="C57" s="764"/>
      <c r="D57" s="764"/>
      <c r="E57" s="764"/>
      <c r="F57" s="765"/>
      <c r="G57" s="765"/>
      <c r="H57" s="764"/>
      <c r="I57" s="764"/>
      <c r="J57" s="764"/>
      <c r="K57" s="1160"/>
      <c r="L57" s="1161"/>
      <c r="M57" s="1159"/>
      <c r="N57" s="1159"/>
      <c r="O57" s="1159"/>
      <c r="P57" s="2620"/>
      <c r="Q57" s="504"/>
    </row>
    <row r="58" spans="1:29" s="508" customFormat="1" ht="14.4">
      <c r="A58" s="505" t="s">
        <v>2585</v>
      </c>
      <c r="B58" s="506"/>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7" customFormat="1">
      <c r="A59" s="509"/>
      <c r="B59" s="2621"/>
      <c r="C59" s="1571">
        <v>100</v>
      </c>
      <c r="D59" s="512">
        <f>C59-$C$60</f>
        <v>99.5</v>
      </c>
      <c r="E59" s="512">
        <f t="shared" ref="E59:M59" si="20">D59-$C$60</f>
        <v>99</v>
      </c>
      <c r="F59" s="512">
        <f t="shared" si="20"/>
        <v>98.5</v>
      </c>
      <c r="G59" s="512">
        <f t="shared" si="20"/>
        <v>98</v>
      </c>
      <c r="H59" s="512">
        <f t="shared" si="20"/>
        <v>97.5</v>
      </c>
      <c r="I59" s="512">
        <f t="shared" si="20"/>
        <v>97</v>
      </c>
      <c r="J59" s="512">
        <f t="shared" si="20"/>
        <v>96.5</v>
      </c>
      <c r="K59" s="512">
        <f t="shared" si="20"/>
        <v>96</v>
      </c>
      <c r="L59" s="512">
        <f t="shared" si="20"/>
        <v>95.5</v>
      </c>
      <c r="M59" s="512">
        <f t="shared" si="20"/>
        <v>95</v>
      </c>
      <c r="N59" s="512"/>
      <c r="O59" s="513"/>
      <c r="P59" s="2622"/>
    </row>
    <row r="60" spans="1:29" s="117" customFormat="1" ht="15" thickBot="1">
      <c r="A60" s="515" t="s">
        <v>2586</v>
      </c>
      <c r="B60" s="516"/>
      <c r="C60" s="517">
        <v>0.5</v>
      </c>
      <c r="D60" s="518"/>
      <c r="E60" s="518"/>
      <c r="F60" s="518"/>
      <c r="G60" s="518"/>
      <c r="H60" s="518"/>
      <c r="I60" s="518"/>
      <c r="J60" s="518"/>
      <c r="K60" s="518"/>
      <c r="L60" s="518"/>
      <c r="M60" s="519"/>
      <c r="N60" s="518"/>
      <c r="O60" s="519"/>
      <c r="P60" s="2622"/>
      <c r="Q60" s="504"/>
    </row>
    <row r="61" spans="1:29" s="117" customFormat="1" ht="14.4">
      <c r="A61" s="521" t="s">
        <v>2587</v>
      </c>
      <c r="B61" s="510"/>
      <c r="C61" s="522" t="s">
        <v>2588</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2589</v>
      </c>
      <c r="B63" s="528" t="s">
        <v>2555</v>
      </c>
      <c r="C63" s="529" t="str">
        <f>C9</f>
        <v>住宅</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4"/>
      <c r="Q65" s="504"/>
    </row>
    <row r="66" spans="1:17" ht="14.4"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3"/>
      <c r="O66" s="1153"/>
      <c r="P66" s="2624"/>
      <c r="Q66" s="504"/>
    </row>
    <row r="67" spans="1:17" ht="15" thickTop="1">
      <c r="A67" s="534"/>
      <c r="B67" s="546" t="s">
        <v>2559</v>
      </c>
      <c r="C67" s="547" t="str">
        <f>C68&amp;"（含）"&amp;"-"&amp;D68</f>
        <v>0（含）-1</v>
      </c>
      <c r="D67" s="547" t="str">
        <f t="shared" ref="D67:L67" si="22">D68&amp;"（含）"&amp;"-"&amp;E68</f>
        <v>1（含）-2</v>
      </c>
      <c r="E67" s="547" t="str">
        <f t="shared" si="22"/>
        <v>2（含）-3</v>
      </c>
      <c r="F67" s="547" t="str">
        <f t="shared" si="22"/>
        <v>3（含）-4</v>
      </c>
      <c r="G67" s="547" t="str">
        <f t="shared" si="22"/>
        <v>4（含）-5</v>
      </c>
      <c r="H67" s="547" t="str">
        <f t="shared" si="22"/>
        <v>5（含）-6</v>
      </c>
      <c r="I67" s="547" t="str">
        <f t="shared" si="22"/>
        <v>6（含）-</v>
      </c>
      <c r="J67" s="547" t="str">
        <f t="shared" si="22"/>
        <v>（含）-</v>
      </c>
      <c r="K67" s="547" t="str">
        <f>K68&amp;"（含）"&amp;"-"&amp;L68</f>
        <v>（含）-</v>
      </c>
      <c r="L67" s="547" t="str">
        <f t="shared" si="22"/>
        <v>（含）-</v>
      </c>
      <c r="M67" s="448" t="str">
        <f>M68&amp;"（含）"&amp;"-"&amp;P68</f>
        <v>（含）-</v>
      </c>
      <c r="N67" s="1153"/>
      <c r="O67" s="1153"/>
      <c r="P67" s="2624"/>
      <c r="Q67" s="504"/>
    </row>
    <row r="68" spans="1:17">
      <c r="A68" s="534"/>
      <c r="B68" s="548"/>
      <c r="C68" s="549">
        <v>0</v>
      </c>
      <c r="D68" s="549">
        <v>1</v>
      </c>
      <c r="E68" s="549">
        <v>2</v>
      </c>
      <c r="F68" s="549">
        <v>3</v>
      </c>
      <c r="G68" s="549">
        <v>4</v>
      </c>
      <c r="H68" s="549">
        <v>5</v>
      </c>
      <c r="I68" s="549">
        <v>6</v>
      </c>
      <c r="J68" s="549"/>
      <c r="K68" s="550"/>
      <c r="L68" s="551"/>
      <c r="M68" s="552"/>
      <c r="N68" s="1152"/>
      <c r="O68" s="1152"/>
      <c r="P68" s="2624"/>
      <c r="Q68" s="504"/>
    </row>
    <row r="69" spans="1:17" ht="14.4" thickBot="1">
      <c r="A69" s="534"/>
      <c r="B69" s="535"/>
      <c r="C69" s="544">
        <v>100</v>
      </c>
      <c r="D69" s="544">
        <f t="shared" ref="D69:M69" si="23">C69-$K11</f>
        <v>97</v>
      </c>
      <c r="E69" s="544">
        <f t="shared" si="23"/>
        <v>94</v>
      </c>
      <c r="F69" s="544">
        <f t="shared" si="23"/>
        <v>91</v>
      </c>
      <c r="G69" s="544">
        <f t="shared" si="23"/>
        <v>88</v>
      </c>
      <c r="H69" s="544">
        <f t="shared" si="23"/>
        <v>85</v>
      </c>
      <c r="I69" s="544">
        <f t="shared" si="23"/>
        <v>82</v>
      </c>
      <c r="J69" s="544">
        <f t="shared" si="23"/>
        <v>79</v>
      </c>
      <c r="K69" s="544">
        <f t="shared" si="23"/>
        <v>76</v>
      </c>
      <c r="L69" s="544">
        <f t="shared" si="23"/>
        <v>73</v>
      </c>
      <c r="M69" s="545">
        <f t="shared" si="23"/>
        <v>70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60"/>
      <c r="E73" s="560"/>
      <c r="F73" s="560"/>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28"/>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24"/>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24"/>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 thickTop="1">
      <c r="A82" s="534"/>
      <c r="B82" s="546" t="s">
        <v>2100</v>
      </c>
      <c r="C82" s="539" t="s">
        <v>2605</v>
      </c>
      <c r="D82" s="539" t="s">
        <v>2606</v>
      </c>
      <c r="E82" s="539" t="s">
        <v>2607</v>
      </c>
      <c r="F82" s="539" t="s">
        <v>2608</v>
      </c>
      <c r="G82" s="539" t="s">
        <v>2609</v>
      </c>
      <c r="H82" s="539"/>
      <c r="I82" s="539"/>
      <c r="J82" s="539"/>
      <c r="K82" s="539"/>
      <c r="L82" s="539"/>
      <c r="M82" s="1382"/>
      <c r="N82" s="1153"/>
      <c r="O82" s="1153"/>
      <c r="P82" s="2624"/>
      <c r="Q82" s="504"/>
    </row>
    <row r="83" spans="1:17" ht="14.4"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3"/>
      <c r="O83" s="1153"/>
      <c r="P83" s="262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24"/>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4"/>
      <c r="Q85" s="504"/>
    </row>
    <row r="86" spans="1:17" s="117" customFormat="1" ht="15" thickTop="1">
      <c r="A86" s="579"/>
      <c r="B86" s="538" t="s">
        <v>2611</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4"/>
      <c r="Q87" s="504"/>
    </row>
    <row r="88" spans="1:17" s="117" customFormat="1" ht="15" thickTop="1">
      <c r="A88" s="579"/>
      <c r="B88" s="538" t="s">
        <v>2612</v>
      </c>
      <c r="C88" s="554"/>
      <c r="D88" s="554"/>
      <c r="E88" s="554"/>
      <c r="F88" s="2629"/>
      <c r="G88" s="554"/>
      <c r="H88" s="554"/>
      <c r="I88" s="554"/>
      <c r="J88" s="554"/>
      <c r="K88" s="554"/>
      <c r="L88" s="554"/>
      <c r="M88" s="581"/>
      <c r="N88" s="1151"/>
      <c r="O88" s="1151"/>
      <c r="P88" s="2624"/>
      <c r="Q88" s="504"/>
    </row>
    <row r="89" spans="1:17" s="117" customFormat="1" ht="14.4"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3"/>
      <c r="O89" s="1153"/>
      <c r="P89" s="2624"/>
      <c r="Q89" s="504"/>
    </row>
    <row r="90" spans="1:17" s="471" customFormat="1" ht="14.4" thickTop="1">
      <c r="A90" s="553"/>
      <c r="B90" s="538">
        <f>B27</f>
        <v>111</v>
      </c>
      <c r="C90" s="554"/>
      <c r="D90" s="554"/>
      <c r="E90" s="554"/>
      <c r="F90" s="554"/>
      <c r="G90" s="554"/>
      <c r="H90" s="555"/>
      <c r="I90" s="555"/>
      <c r="J90" s="555"/>
      <c r="K90" s="555"/>
      <c r="L90" s="556"/>
      <c r="M90" s="557"/>
      <c r="N90" s="1154"/>
      <c r="O90" s="1154"/>
      <c r="P90" s="2625"/>
      <c r="Q90" s="559"/>
    </row>
    <row r="91" spans="1:17" s="471" customFormat="1" ht="14.4" thickBot="1">
      <c r="A91" s="553"/>
      <c r="B91" s="543"/>
      <c r="C91" s="560"/>
      <c r="D91" s="560"/>
      <c r="E91" s="560"/>
      <c r="F91" s="560"/>
      <c r="G91" s="560"/>
      <c r="H91" s="562"/>
      <c r="I91" s="562"/>
      <c r="J91" s="562"/>
      <c r="K91" s="562"/>
      <c r="L91" s="562"/>
      <c r="M91" s="563"/>
      <c r="N91" s="1154"/>
      <c r="O91" s="1154"/>
      <c r="P91" s="2625"/>
      <c r="Q91" s="559"/>
    </row>
    <row r="92" spans="1:17" ht="14.4" thickTop="1">
      <c r="A92" s="534"/>
      <c r="B92" s="538">
        <f>B28</f>
        <v>111</v>
      </c>
      <c r="C92" s="554"/>
      <c r="D92" s="554"/>
      <c r="E92" s="554"/>
      <c r="F92" s="554"/>
      <c r="G92" s="583"/>
      <c r="H92" s="583"/>
      <c r="I92" s="583"/>
      <c r="J92" s="583"/>
      <c r="K92" s="584"/>
      <c r="L92" s="585"/>
      <c r="M92" s="586"/>
      <c r="N92" s="1152"/>
      <c r="O92" s="1152"/>
      <c r="P92" s="2624"/>
      <c r="Q92" s="504"/>
    </row>
    <row r="93" spans="1:17" ht="14.4" thickBot="1">
      <c r="A93" s="534"/>
      <c r="B93" s="543"/>
      <c r="C93" s="560"/>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60"/>
      <c r="E95" s="560"/>
      <c r="F95" s="560"/>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70"/>
      <c r="D97" s="570"/>
      <c r="E97" s="570"/>
      <c r="F97" s="570"/>
      <c r="G97" s="536"/>
      <c r="H97" s="536"/>
      <c r="I97" s="536"/>
      <c r="J97" s="536"/>
      <c r="K97" s="536"/>
      <c r="L97" s="536"/>
      <c r="M97" s="537"/>
      <c r="N97" s="1153"/>
      <c r="O97" s="1153"/>
      <c r="P97" s="2624"/>
      <c r="Q97" s="504"/>
    </row>
    <row r="98" spans="1:17" ht="14.4" thickTop="1">
      <c r="A98" s="534"/>
      <c r="B98" s="546">
        <f>B31</f>
        <v>111</v>
      </c>
      <c r="C98" s="587"/>
      <c r="D98" s="587"/>
      <c r="E98" s="587"/>
      <c r="F98" s="587"/>
      <c r="G98" s="587"/>
      <c r="H98" s="587"/>
      <c r="I98" s="587"/>
      <c r="J98" s="587"/>
      <c r="K98" s="588"/>
      <c r="L98" s="589"/>
      <c r="M98" s="590"/>
      <c r="N98" s="1152"/>
      <c r="O98" s="1152"/>
      <c r="P98" s="2624"/>
      <c r="Q98" s="504"/>
    </row>
    <row r="99" spans="1:17" ht="14.4" thickBot="1">
      <c r="A99" s="2630"/>
      <c r="B99" s="569"/>
      <c r="C99" s="591"/>
      <c r="D99" s="591"/>
      <c r="E99" s="591"/>
      <c r="F99" s="591"/>
      <c r="G99" s="591"/>
      <c r="H99" s="591"/>
      <c r="I99" s="591"/>
      <c r="J99" s="591"/>
      <c r="K99" s="591"/>
      <c r="L99" s="591"/>
      <c r="M99" s="592"/>
      <c r="N99" s="1153"/>
      <c r="O99" s="1153"/>
      <c r="P99" s="2624"/>
      <c r="Q99" s="504"/>
    </row>
    <row r="100" spans="1:17" ht="14.4">
      <c r="A100" s="527" t="s">
        <v>2564</v>
      </c>
      <c r="B100" s="528" t="s">
        <v>2613</v>
      </c>
      <c r="C100" s="2964" t="s">
        <v>3390</v>
      </c>
      <c r="D100" s="2964" t="s">
        <v>3431</v>
      </c>
      <c r="E100" s="2964" t="s">
        <v>3456</v>
      </c>
      <c r="F100" s="530"/>
      <c r="G100" s="530"/>
      <c r="H100" s="530"/>
      <c r="I100" s="530"/>
      <c r="J100" s="530"/>
      <c r="K100" s="531"/>
      <c r="L100" s="532"/>
      <c r="M100" s="533"/>
      <c r="N100" s="1152"/>
      <c r="O100" s="1152"/>
      <c r="P100" s="2624"/>
      <c r="Q100" s="504"/>
    </row>
    <row r="101" spans="1:17" ht="14.4" thickBot="1">
      <c r="A101" s="534"/>
      <c r="B101" s="543"/>
      <c r="C101" s="544">
        <v>100</v>
      </c>
      <c r="D101" s="544">
        <f t="shared" ref="D101:M101" si="27">C101-$K32</f>
        <v>96</v>
      </c>
      <c r="E101" s="544">
        <f t="shared" si="27"/>
        <v>92</v>
      </c>
      <c r="F101" s="544">
        <f t="shared" si="27"/>
        <v>88</v>
      </c>
      <c r="G101" s="544">
        <f t="shared" si="27"/>
        <v>84</v>
      </c>
      <c r="H101" s="544">
        <f t="shared" si="27"/>
        <v>80</v>
      </c>
      <c r="I101" s="544">
        <f t="shared" si="27"/>
        <v>76</v>
      </c>
      <c r="J101" s="544">
        <f t="shared" si="27"/>
        <v>72</v>
      </c>
      <c r="K101" s="544">
        <f t="shared" si="27"/>
        <v>68</v>
      </c>
      <c r="L101" s="544">
        <f t="shared" si="27"/>
        <v>64</v>
      </c>
      <c r="M101" s="544">
        <f t="shared" si="27"/>
        <v>60</v>
      </c>
      <c r="N101" s="1153"/>
      <c r="O101" s="1153"/>
      <c r="P101" s="2624"/>
      <c r="Q101" s="504"/>
    </row>
    <row r="102" spans="1:17" ht="28.2" thickTop="1">
      <c r="A102" s="534"/>
      <c r="B102" s="538" t="s">
        <v>2614</v>
      </c>
      <c r="C102" s="578" t="str">
        <f>C103&amp;"(含)"&amp;"-"&amp;D103</f>
        <v>0(含)-100000</v>
      </c>
      <c r="D102" s="578" t="str">
        <f t="shared" ref="D102:L102" si="28">D103&amp;"(含)"&amp;"-"&amp;E103</f>
        <v>100000(含)-200000</v>
      </c>
      <c r="E102" s="578" t="str">
        <f t="shared" si="28"/>
        <v>200000(含)-300000</v>
      </c>
      <c r="F102" s="578" t="str">
        <f t="shared" si="28"/>
        <v>300000(含)-400000</v>
      </c>
      <c r="G102" s="578" t="str">
        <f t="shared" si="28"/>
        <v>400000(含)-500000</v>
      </c>
      <c r="H102" s="578" t="str">
        <f t="shared" si="28"/>
        <v>500000(含)-600000</v>
      </c>
      <c r="I102" s="578" t="str">
        <f t="shared" si="28"/>
        <v>600000(含)-700000</v>
      </c>
      <c r="J102" s="578" t="str">
        <f t="shared" si="28"/>
        <v>700000(含)-</v>
      </c>
      <c r="K102" s="578" t="str">
        <f>K103&amp;"(含)"&amp;"-"&amp;L103</f>
        <v>(含)-</v>
      </c>
      <c r="L102" s="578" t="str">
        <f t="shared" si="28"/>
        <v>(含)-</v>
      </c>
      <c r="M102" s="578" t="str">
        <f>M103&amp;"(含)"&amp;"-"&amp;P103</f>
        <v>(含)-</v>
      </c>
      <c r="N102" s="1151"/>
      <c r="O102" s="1151"/>
      <c r="P102" s="2624"/>
      <c r="Q102" s="504"/>
    </row>
    <row r="103" spans="1:17" s="471" customFormat="1">
      <c r="A103" s="593"/>
      <c r="B103" s="594"/>
      <c r="C103" s="595">
        <v>0</v>
      </c>
      <c r="D103" s="595">
        <v>100000</v>
      </c>
      <c r="E103" s="595">
        <v>200000</v>
      </c>
      <c r="F103" s="595">
        <v>300000</v>
      </c>
      <c r="G103" s="595">
        <v>400000</v>
      </c>
      <c r="H103" s="595">
        <v>500000</v>
      </c>
      <c r="I103" s="595">
        <v>600000</v>
      </c>
      <c r="J103" s="596">
        <v>700000</v>
      </c>
      <c r="K103" s="596"/>
      <c r="L103" s="597"/>
      <c r="M103" s="598"/>
      <c r="N103" s="1154"/>
      <c r="O103" s="1154"/>
      <c r="P103" s="2625"/>
      <c r="Q103" s="559"/>
    </row>
    <row r="104" spans="1:17" s="471" customFormat="1" ht="14.4" thickBot="1">
      <c r="A104" s="553"/>
      <c r="B104" s="543"/>
      <c r="C104" s="560">
        <v>100</v>
      </c>
      <c r="D104" s="536">
        <v>100.5</v>
      </c>
      <c r="E104" s="536">
        <v>101</v>
      </c>
      <c r="F104" s="560">
        <v>101.5</v>
      </c>
      <c r="G104" s="536">
        <v>102</v>
      </c>
      <c r="H104" s="536">
        <v>102.5</v>
      </c>
      <c r="I104" s="560">
        <v>103</v>
      </c>
      <c r="J104" s="536">
        <v>103.5</v>
      </c>
      <c r="K104" s="536"/>
      <c r="L104" s="536"/>
      <c r="M104" s="536"/>
      <c r="N104" s="1153"/>
      <c r="O104" s="1153"/>
      <c r="P104" s="2625"/>
      <c r="Q104" s="559"/>
    </row>
    <row r="105" spans="1:17" ht="15" thickTop="1">
      <c r="A105" s="599"/>
      <c r="B105" s="538" t="s">
        <v>2615</v>
      </c>
      <c r="C105" s="2961" t="s">
        <v>3391</v>
      </c>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3"/>
      <c r="O106" s="1153"/>
      <c r="P106" s="2624"/>
      <c r="Q106" s="504"/>
    </row>
    <row r="107" spans="1:17" ht="15" thickTop="1">
      <c r="A107" s="599"/>
      <c r="B107" s="538" t="s">
        <v>2616</v>
      </c>
      <c r="C107" s="2961" t="s">
        <v>3392</v>
      </c>
      <c r="D107" s="2961" t="s">
        <v>3393</v>
      </c>
      <c r="E107" s="2960" t="s">
        <v>3394</v>
      </c>
      <c r="F107" s="2960" t="s">
        <v>3395</v>
      </c>
      <c r="G107" s="2960" t="s">
        <v>3396</v>
      </c>
      <c r="H107" s="583"/>
      <c r="I107" s="583"/>
      <c r="J107" s="583"/>
      <c r="K107" s="584"/>
      <c r="L107" s="585"/>
      <c r="M107" s="586"/>
      <c r="N107" s="1152"/>
      <c r="O107" s="1152"/>
      <c r="P107" s="2624"/>
      <c r="Q107" s="504"/>
    </row>
    <row r="108" spans="1:17" ht="14.4"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3"/>
      <c r="O108" s="1153"/>
      <c r="P108" s="2624"/>
      <c r="Q108" s="504"/>
    </row>
    <row r="109" spans="1:17" ht="15" thickTop="1">
      <c r="A109" s="599"/>
      <c r="B109" s="538" t="s">
        <v>2617</v>
      </c>
      <c r="C109" s="2961" t="s">
        <v>3397</v>
      </c>
      <c r="D109" s="2961" t="s">
        <v>3398</v>
      </c>
      <c r="E109" s="2961" t="s">
        <v>3399</v>
      </c>
      <c r="F109" s="2960" t="s">
        <v>3400</v>
      </c>
      <c r="G109" s="583"/>
      <c r="H109" s="583"/>
      <c r="I109" s="583"/>
      <c r="J109" s="583"/>
      <c r="K109" s="584"/>
      <c r="L109" s="585"/>
      <c r="M109" s="586"/>
      <c r="N109" s="1152"/>
      <c r="O109" s="1152"/>
      <c r="P109" s="2624"/>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2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2618</v>
      </c>
      <c r="C114" s="2961" t="s">
        <v>3401</v>
      </c>
      <c r="D114" s="2961" t="s">
        <v>3402</v>
      </c>
      <c r="E114" s="2960" t="s">
        <v>3403</v>
      </c>
      <c r="F114" s="2960" t="s">
        <v>3404</v>
      </c>
      <c r="G114" s="2960" t="s">
        <v>3405</v>
      </c>
      <c r="H114" s="583"/>
      <c r="I114" s="583"/>
      <c r="J114" s="583"/>
      <c r="K114" s="584"/>
      <c r="L114" s="585"/>
      <c r="M114" s="586"/>
      <c r="N114" s="1152"/>
      <c r="O114" s="1152"/>
      <c r="P114" s="2624"/>
      <c r="Q114" s="504"/>
    </row>
    <row r="115" spans="1:17" ht="14.4"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3"/>
      <c r="O115" s="1153"/>
      <c r="P115" s="2624"/>
      <c r="Q115" s="504"/>
    </row>
    <row r="116" spans="1:17" ht="15" thickTop="1">
      <c r="A116" s="599"/>
      <c r="B116" s="538" t="s">
        <v>2619</v>
      </c>
      <c r="C116" s="2961" t="s">
        <v>3406</v>
      </c>
      <c r="D116" s="2961" t="s">
        <v>3407</v>
      </c>
      <c r="E116" s="2961" t="s">
        <v>3408</v>
      </c>
      <c r="F116" s="2961" t="s">
        <v>3409</v>
      </c>
      <c r="G116" s="2961" t="s">
        <v>3410</v>
      </c>
      <c r="H116" s="583"/>
      <c r="I116" s="583"/>
      <c r="J116" s="583"/>
      <c r="K116" s="584"/>
      <c r="L116" s="585"/>
      <c r="M116" s="586"/>
      <c r="N116" s="1152"/>
      <c r="O116" s="1152"/>
      <c r="P116" s="2624"/>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2620</v>
      </c>
      <c r="C118" s="2960" t="s">
        <v>3460</v>
      </c>
      <c r="D118" s="2960" t="s">
        <v>3411</v>
      </c>
      <c r="E118" s="583"/>
      <c r="F118" s="583"/>
      <c r="G118" s="583"/>
      <c r="H118" s="583"/>
      <c r="I118" s="583"/>
      <c r="J118" s="583"/>
      <c r="K118" s="584"/>
      <c r="L118" s="585"/>
      <c r="M118" s="586"/>
      <c r="N118" s="1152"/>
      <c r="O118" s="1152"/>
      <c r="P118" s="2624"/>
      <c r="Q118" s="504"/>
    </row>
    <row r="119" spans="1:17" ht="14.4"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3"/>
      <c r="O119" s="1153"/>
      <c r="P119" s="2624"/>
      <c r="Q119" s="504"/>
    </row>
    <row r="120" spans="1:17" s="471" customFormat="1" ht="29.4" thickTop="1">
      <c r="A120" s="593"/>
      <c r="B120" s="538" t="s">
        <v>2575</v>
      </c>
      <c r="C120" s="554"/>
      <c r="D120" s="554"/>
      <c r="E120" s="554"/>
      <c r="F120" s="554"/>
      <c r="G120" s="554"/>
      <c r="H120" s="554"/>
      <c r="I120" s="554"/>
      <c r="J120" s="554"/>
      <c r="K120" s="554"/>
      <c r="L120" s="580"/>
      <c r="M120" s="581"/>
      <c r="N120" s="1154"/>
      <c r="O120" s="1154"/>
      <c r="P120" s="2625"/>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2621</v>
      </c>
      <c r="C122" s="2961" t="s">
        <v>3397</v>
      </c>
      <c r="D122" s="2961" t="s">
        <v>3398</v>
      </c>
      <c r="E122" s="2961" t="s">
        <v>3399</v>
      </c>
      <c r="F122" s="2960" t="s">
        <v>3400</v>
      </c>
      <c r="G122" s="583"/>
      <c r="H122" s="583"/>
      <c r="I122" s="583"/>
      <c r="J122" s="583"/>
      <c r="K122" s="584"/>
      <c r="L122" s="585"/>
      <c r="M122" s="586"/>
      <c r="N122" s="1152"/>
      <c r="O122" s="1152"/>
      <c r="P122" s="2624"/>
      <c r="Q122" s="504"/>
    </row>
    <row r="123" spans="1:17" ht="14.4" thickBot="1">
      <c r="A123" s="534"/>
      <c r="B123" s="543"/>
      <c r="C123" s="544">
        <v>100</v>
      </c>
      <c r="D123" s="544">
        <f t="shared" ref="D123:M123" si="34">C123-$K42</f>
        <v>97</v>
      </c>
      <c r="E123" s="544">
        <f t="shared" si="34"/>
        <v>94</v>
      </c>
      <c r="F123" s="544">
        <f t="shared" si="34"/>
        <v>91</v>
      </c>
      <c r="G123" s="544">
        <f t="shared" si="34"/>
        <v>88</v>
      </c>
      <c r="H123" s="544">
        <f t="shared" si="34"/>
        <v>85</v>
      </c>
      <c r="I123" s="544">
        <f t="shared" si="34"/>
        <v>82</v>
      </c>
      <c r="J123" s="544">
        <f t="shared" si="34"/>
        <v>79</v>
      </c>
      <c r="K123" s="544">
        <f t="shared" si="34"/>
        <v>76</v>
      </c>
      <c r="L123" s="544">
        <f t="shared" si="34"/>
        <v>73</v>
      </c>
      <c r="M123" s="544">
        <f t="shared" si="34"/>
        <v>70</v>
      </c>
      <c r="N123" s="1153"/>
      <c r="O123" s="1153"/>
      <c r="P123" s="262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5"/>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f>B45</f>
        <v>111</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60"/>
      <c r="E129" s="560"/>
      <c r="F129" s="560"/>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2623</v>
      </c>
    </row>
    <row r="137" spans="1:17" ht="15">
      <c r="B137" s="2632" t="s">
        <v>2624</v>
      </c>
      <c r="C137" s="2633"/>
      <c r="D137" s="2633"/>
      <c r="E137" s="2633"/>
      <c r="F137" s="2633"/>
      <c r="G137" s="2634"/>
      <c r="H137" s="2635"/>
      <c r="I137" s="2636" t="s">
        <v>2625</v>
      </c>
      <c r="J137" s="2633"/>
      <c r="K137" s="2637"/>
    </row>
    <row r="138" spans="1:17" ht="15">
      <c r="B138" s="2638"/>
      <c r="C138" s="146" t="s">
        <v>2626</v>
      </c>
      <c r="D138" s="146" t="s">
        <v>2627</v>
      </c>
      <c r="E138" s="2639" t="s">
        <v>2628</v>
      </c>
      <c r="F138" s="2640" t="s">
        <v>2629</v>
      </c>
      <c r="G138" s="146" t="s">
        <v>2627</v>
      </c>
      <c r="H138" s="147" t="s">
        <v>2628</v>
      </c>
      <c r="I138" s="2641"/>
      <c r="J138" s="146" t="s">
        <v>2630</v>
      </c>
      <c r="K138" s="147" t="s">
        <v>2631</v>
      </c>
    </row>
    <row r="139" spans="1:17" ht="15">
      <c r="B139" s="1084">
        <v>6</v>
      </c>
      <c r="C139" s="1085">
        <v>96</v>
      </c>
      <c r="D139" s="2642" t="s">
        <v>2632</v>
      </c>
      <c r="E139" s="1086">
        <v>100</v>
      </c>
      <c r="F139" s="1087">
        <v>102.5</v>
      </c>
      <c r="G139" s="2642" t="s">
        <v>2632</v>
      </c>
      <c r="H139" s="1088">
        <v>105</v>
      </c>
      <c r="I139" s="2643" t="s">
        <v>2633</v>
      </c>
      <c r="J139" s="1085">
        <v>20</v>
      </c>
      <c r="K139" s="1089">
        <f>C145/(J139-2)</f>
        <v>4.0555555555555553E-3</v>
      </c>
    </row>
    <row r="140" spans="1:17" ht="15">
      <c r="B140" s="1090">
        <v>5</v>
      </c>
      <c r="C140" s="1091">
        <v>100</v>
      </c>
      <c r="D140" s="1091"/>
      <c r="E140" s="1092"/>
      <c r="F140" s="1093">
        <v>102</v>
      </c>
      <c r="G140" s="1091"/>
      <c r="H140" s="1094"/>
      <c r="I140" s="2644" t="s">
        <v>2634</v>
      </c>
      <c r="J140" s="315">
        <f>ROUNDUP((J139-1)/2,0)</f>
        <v>10</v>
      </c>
      <c r="K140" s="1095">
        <v>100</v>
      </c>
    </row>
    <row r="141" spans="1:17" ht="15">
      <c r="B141" s="1090">
        <v>4</v>
      </c>
      <c r="C141" s="1091">
        <v>102</v>
      </c>
      <c r="D141" s="1091"/>
      <c r="E141" s="1092"/>
      <c r="F141" s="1093">
        <v>101.5</v>
      </c>
      <c r="G141" s="1091"/>
      <c r="H141" s="1094"/>
      <c r="I141" s="2644" t="s">
        <v>2635</v>
      </c>
      <c r="J141" s="315">
        <v>1</v>
      </c>
      <c r="K141" s="1096">
        <f>ROUND(100+(J141-J140)*K139*100,1)</f>
        <v>96.4</v>
      </c>
    </row>
    <row r="142" spans="1:17" ht="15">
      <c r="B142" s="1090">
        <v>3</v>
      </c>
      <c r="C142" s="1091">
        <v>103</v>
      </c>
      <c r="D142" s="1091"/>
      <c r="E142" s="1092"/>
      <c r="F142" s="1093">
        <v>101</v>
      </c>
      <c r="G142" s="1091"/>
      <c r="H142" s="1094"/>
      <c r="I142" s="2644" t="s">
        <v>2636</v>
      </c>
      <c r="J142" s="315">
        <f>J139</f>
        <v>20</v>
      </c>
      <c r="K142" s="1097">
        <v>95</v>
      </c>
    </row>
    <row r="143" spans="1:17" ht="15">
      <c r="B143" s="1090">
        <v>2</v>
      </c>
      <c r="C143" s="1091">
        <v>100</v>
      </c>
      <c r="D143" s="1091"/>
      <c r="E143" s="1092"/>
      <c r="F143" s="1093">
        <v>100.5</v>
      </c>
      <c r="G143" s="1091"/>
      <c r="H143" s="1094"/>
      <c r="I143" s="2644" t="s">
        <v>2637</v>
      </c>
      <c r="J143" s="1091">
        <v>15</v>
      </c>
      <c r="K143" s="1096">
        <f>ROUND(100+(J143-J140)*K139*100,1)</f>
        <v>102</v>
      </c>
    </row>
    <row r="144" spans="1:17" ht="15">
      <c r="B144" s="1090">
        <v>1</v>
      </c>
      <c r="C144" s="1091">
        <v>98</v>
      </c>
      <c r="D144" s="2645" t="s">
        <v>2638</v>
      </c>
      <c r="E144" s="1092">
        <v>102</v>
      </c>
      <c r="F144" s="1098">
        <v>100</v>
      </c>
      <c r="G144" s="2645" t="s">
        <v>2638</v>
      </c>
      <c r="H144" s="1094">
        <v>105</v>
      </c>
      <c r="I144" s="2644" t="s">
        <v>2637</v>
      </c>
      <c r="J144" s="1091">
        <v>18</v>
      </c>
      <c r="K144" s="1096">
        <f>ROUND(100+(J144-J140)*K139*100,1)</f>
        <v>103.2</v>
      </c>
    </row>
    <row r="145" spans="2:11" ht="16.2" thickBot="1">
      <c r="B145" s="2646" t="s">
        <v>2639</v>
      </c>
      <c r="C145" s="1099">
        <f>ROUND(MAX(C139:C144)/MIN(C139:C144)-1,3)</f>
        <v>7.2999999999999995E-2</v>
      </c>
      <c r="D145" s="1100"/>
      <c r="E145" s="1100"/>
      <c r="F145" s="2647" t="s">
        <v>2640</v>
      </c>
      <c r="G145" s="2648"/>
      <c r="H145" s="2649"/>
      <c r="I145" s="2650" t="s">
        <v>2637</v>
      </c>
      <c r="J145" s="1101">
        <v>8</v>
      </c>
      <c r="K145" s="1102">
        <f>ROUND(100+(J145-J140)*K139*100,1)</f>
        <v>99.2</v>
      </c>
    </row>
    <row r="147" spans="2:11" ht="14.4">
      <c r="B147" s="2631" t="s">
        <v>2641</v>
      </c>
    </row>
    <row r="148" spans="2:11" ht="14.4">
      <c r="B148" s="2631"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579" t="s">
        <v>2643</v>
      </c>
      <c r="C1" s="1632" t="s">
        <v>2531</v>
      </c>
      <c r="D1" s="1619"/>
      <c r="E1" s="2651"/>
      <c r="F1" s="2581"/>
      <c r="G1" s="1629" t="s">
        <v>2644</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8" customFormat="1" ht="28.5" customHeight="1" thickTop="1">
      <c r="A2" s="1615" t="s">
        <v>2331</v>
      </c>
      <c r="B2" s="1417" t="e">
        <f ca="1">IF(C2="——",ROUND(C49*D3/10000,0),ROUND(C49*D3/10000,0)-D2)</f>
        <v>#DIV/0!</v>
      </c>
      <c r="C2" s="2583"/>
      <c r="D2" s="1365" t="e">
        <f ca="1">SUMIF(INDIRECT("'"&amp;F2&amp;"'"&amp;"!A:A"),"承租人权益价值",INDIRECT("'"&amp;F2&amp;"'"&amp;"!c:c"))</f>
        <v>#REF!</v>
      </c>
      <c r="E2" s="2584" t="s">
        <v>2332</v>
      </c>
      <c r="F2" s="2585"/>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2333</v>
      </c>
      <c r="B3" s="609" t="e">
        <f ca="1">IF(C2="——",C49,ROUND(B2*10000/D3,0))</f>
        <v>#DIV/0!</v>
      </c>
      <c r="C3" s="400" t="s">
        <v>2645</v>
      </c>
      <c r="D3" s="399">
        <f>IF(D1="",'数据-汇总表'!E3,SUMIF('数据-汇总表'!$C19:$C33,D1,'数据-汇总表'!$E19:$E33))</f>
        <v>49782.53</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4.4">
      <c r="A4" s="401" t="s">
        <v>2646</v>
      </c>
      <c r="B4" s="402"/>
      <c r="C4" s="3160" t="s">
        <v>2647</v>
      </c>
      <c r="D4" s="3173"/>
      <c r="E4" s="3174" t="s">
        <v>2648</v>
      </c>
      <c r="F4" s="3175"/>
      <c r="G4" s="3160" t="s">
        <v>2649</v>
      </c>
      <c r="H4" s="3173"/>
      <c r="I4" s="3160" t="s">
        <v>2650</v>
      </c>
      <c r="J4" s="3173"/>
      <c r="K4" s="610" t="s">
        <v>2651</v>
      </c>
      <c r="L4" s="1130"/>
      <c r="M4" s="1131"/>
      <c r="N4" s="1131"/>
      <c r="O4" s="1131"/>
      <c r="P4" s="3176" t="s">
        <v>2652</v>
      </c>
      <c r="Q4" s="3177"/>
      <c r="R4" s="3182" t="s">
        <v>2648</v>
      </c>
      <c r="S4" s="3183"/>
      <c r="T4" s="3182" t="s">
        <v>2649</v>
      </c>
      <c r="U4" s="3183"/>
      <c r="V4" s="3169" t="s">
        <v>2650</v>
      </c>
      <c r="W4" s="3169"/>
      <c r="X4" s="1811"/>
      <c r="Y4" s="3182" t="s">
        <v>2652</v>
      </c>
      <c r="Z4" s="3183"/>
      <c r="AA4" s="3170" t="s">
        <v>2648</v>
      </c>
      <c r="AB4" s="3169" t="s">
        <v>2649</v>
      </c>
      <c r="AC4" s="3170" t="s">
        <v>2650</v>
      </c>
    </row>
    <row r="5" spans="1:29">
      <c r="A5" s="404"/>
      <c r="B5" s="405"/>
      <c r="C5" s="3190" t="s">
        <v>2543</v>
      </c>
      <c r="D5" s="3191"/>
      <c r="E5" s="3199" t="s">
        <v>2544</v>
      </c>
      <c r="F5" s="3200"/>
      <c r="G5" s="3190" t="s">
        <v>2545</v>
      </c>
      <c r="H5" s="3191"/>
      <c r="I5" s="3190" t="s">
        <v>2546</v>
      </c>
      <c r="J5" s="3191"/>
      <c r="K5" s="610"/>
      <c r="L5" s="1130"/>
      <c r="M5" s="1131"/>
      <c r="N5" s="1131"/>
      <c r="O5" s="1131"/>
      <c r="P5" s="3178"/>
      <c r="Q5" s="3179"/>
      <c r="R5" s="3184"/>
      <c r="S5" s="3185"/>
      <c r="T5" s="3184"/>
      <c r="U5" s="3185"/>
      <c r="V5" s="3169"/>
      <c r="W5" s="3169"/>
      <c r="X5" s="1811"/>
      <c r="Y5" s="3184"/>
      <c r="Z5" s="3185"/>
      <c r="AA5" s="3171"/>
      <c r="AB5" s="3169"/>
      <c r="AC5" s="3171"/>
    </row>
    <row r="6" spans="1:29" ht="15" thickBot="1">
      <c r="A6" s="406"/>
      <c r="B6" s="407"/>
      <c r="C6" s="3188" t="s">
        <v>2547</v>
      </c>
      <c r="D6" s="3189"/>
      <c r="E6" s="3197" t="s">
        <v>2547</v>
      </c>
      <c r="F6" s="3198"/>
      <c r="G6" s="3188" t="s">
        <v>2547</v>
      </c>
      <c r="H6" s="3189"/>
      <c r="I6" s="3188" t="s">
        <v>2547</v>
      </c>
      <c r="J6" s="3189"/>
      <c r="K6" s="610" t="s">
        <v>2548</v>
      </c>
      <c r="L6" s="1130"/>
      <c r="M6" s="1131"/>
      <c r="N6" s="1131"/>
      <c r="O6" s="1131"/>
      <c r="P6" s="3180"/>
      <c r="Q6" s="3181"/>
      <c r="R6" s="3184"/>
      <c r="S6" s="3185"/>
      <c r="T6" s="3186"/>
      <c r="U6" s="3187"/>
      <c r="V6" s="3169"/>
      <c r="W6" s="3169"/>
      <c r="X6" s="1811"/>
      <c r="Y6" s="3186"/>
      <c r="Z6" s="3187"/>
      <c r="AA6" s="3172"/>
      <c r="AB6" s="3169"/>
      <c r="AC6" s="3172"/>
    </row>
    <row r="7" spans="1:29" s="117" customFormat="1" ht="15" thickBot="1">
      <c r="A7" s="408" t="s">
        <v>2549</v>
      </c>
      <c r="B7" s="409"/>
      <c r="C7" s="410">
        <f>'数据-取费表'!B2</f>
        <v>43342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2" t="s">
        <v>2553</v>
      </c>
      <c r="Q8" s="3193"/>
      <c r="R8" s="770" t="s">
        <v>17</v>
      </c>
      <c r="S8" s="771">
        <f t="shared" si="0"/>
        <v>0</v>
      </c>
      <c r="T8" s="770" t="s">
        <v>17</v>
      </c>
      <c r="U8" s="771">
        <f t="shared" si="1"/>
        <v>0</v>
      </c>
      <c r="V8" s="770" t="s">
        <v>17</v>
      </c>
      <c r="W8" s="771">
        <f t="shared" si="2"/>
        <v>0</v>
      </c>
      <c r="X8" s="772"/>
      <c r="Y8" s="3192" t="s">
        <v>2553</v>
      </c>
      <c r="Z8" s="3193"/>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62" t="s">
        <v>2556</v>
      </c>
      <c r="Q9" s="1793"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62"/>
      <c r="Q10" s="1793"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62"/>
      <c r="Q11" s="1793"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2"/>
      <c r="Q12" s="1793">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2"/>
      <c r="Q13" s="1793">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2"/>
      <c r="Q14" s="1793">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69">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7" t="s">
        <v>2561</v>
      </c>
      <c r="Q15" s="1808" t="str">
        <f t="shared" si="6"/>
        <v>商业繁华度</v>
      </c>
      <c r="R15" s="774" t="s">
        <v>17</v>
      </c>
      <c r="S15" s="775">
        <f t="shared" si="0"/>
        <v>100</v>
      </c>
      <c r="T15" s="774" t="s">
        <v>17</v>
      </c>
      <c r="U15" s="775">
        <f t="shared" si="1"/>
        <v>100</v>
      </c>
      <c r="V15" s="774" t="s">
        <v>17</v>
      </c>
      <c r="W15" s="775">
        <f t="shared" si="2"/>
        <v>100</v>
      </c>
      <c r="X15" s="1811"/>
      <c r="Y15" s="3165" t="s">
        <v>2561</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1"/>
      <c r="P16" s="3238"/>
      <c r="Q16" s="1808"/>
      <c r="R16" s="774"/>
      <c r="S16" s="775"/>
      <c r="T16" s="774"/>
      <c r="U16" s="775"/>
      <c r="V16" s="774"/>
      <c r="W16" s="775"/>
      <c r="X16" s="1811"/>
      <c r="Y16" s="3166"/>
      <c r="Z16" s="1812"/>
      <c r="AA16" s="1809">
        <v>1</v>
      </c>
      <c r="AB16" s="1809">
        <v>1</v>
      </c>
      <c r="AC16" s="1809">
        <v>1</v>
      </c>
    </row>
    <row r="17" spans="1:29" ht="82.8">
      <c r="A17" s="428"/>
      <c r="B17" s="451" t="s">
        <v>2099</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8"/>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1"/>
      <c r="P18" s="3238"/>
      <c r="Q18" s="1808"/>
      <c r="R18" s="774"/>
      <c r="S18" s="775"/>
      <c r="T18" s="774"/>
      <c r="U18" s="775"/>
      <c r="V18" s="774"/>
      <c r="W18" s="775"/>
      <c r="X18" s="1811"/>
      <c r="Y18" s="3166"/>
      <c r="Z18" s="1812"/>
      <c r="AA18" s="1809">
        <v>1</v>
      </c>
      <c r="AB18" s="1809">
        <v>1</v>
      </c>
      <c r="AC18" s="1809">
        <v>1</v>
      </c>
    </row>
    <row r="19" spans="1:29" ht="41.4">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8"/>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1"/>
      <c r="P20" s="3238"/>
      <c r="Q20" s="1808"/>
      <c r="R20" s="774"/>
      <c r="S20" s="775"/>
      <c r="T20" s="774"/>
      <c r="U20" s="775"/>
      <c r="V20" s="774"/>
      <c r="W20" s="775"/>
      <c r="X20" s="1811"/>
      <c r="Y20" s="3166"/>
      <c r="Z20" s="1812"/>
      <c r="AA20" s="1809">
        <v>1</v>
      </c>
      <c r="AB20" s="1809">
        <v>1</v>
      </c>
      <c r="AC20" s="1809">
        <v>1</v>
      </c>
    </row>
    <row r="21" spans="1:29" ht="27.6">
      <c r="A21" s="428"/>
      <c r="B21" s="1384"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8"/>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1"/>
      <c r="P22" s="3238"/>
      <c r="Q22" s="1808"/>
      <c r="R22" s="774"/>
      <c r="S22" s="775"/>
      <c r="T22" s="774"/>
      <c r="U22" s="775"/>
      <c r="V22" s="774"/>
      <c r="W22" s="775"/>
      <c r="X22" s="1811"/>
      <c r="Y22" s="3166"/>
      <c r="Z22" s="1812"/>
      <c r="AA22" s="1809">
        <v>1</v>
      </c>
      <c r="AB22" s="1809">
        <v>1</v>
      </c>
      <c r="AC22" s="1809">
        <v>1</v>
      </c>
    </row>
    <row r="23" spans="1:29" ht="55.2">
      <c r="A23" s="428"/>
      <c r="B23" s="451" t="s">
        <v>2104</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8"/>
      <c r="Q23" s="1808" t="str">
        <f>B23</f>
        <v>自然及人文环境</v>
      </c>
      <c r="R23" s="774" t="s">
        <v>17</v>
      </c>
      <c r="S23" s="775">
        <f>F23</f>
        <v>100</v>
      </c>
      <c r="T23" s="774" t="s">
        <v>17</v>
      </c>
      <c r="U23" s="775">
        <f>H23</f>
        <v>100</v>
      </c>
      <c r="V23" s="774" t="s">
        <v>17</v>
      </c>
      <c r="W23" s="775">
        <f>J23</f>
        <v>100</v>
      </c>
      <c r="X23" s="1811"/>
      <c r="Y23" s="3166"/>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40"/>
      <c r="M24" s="1131"/>
      <c r="N24" s="1131"/>
      <c r="O24" s="1131"/>
      <c r="P24" s="3238"/>
      <c r="Q24" s="1808"/>
      <c r="R24" s="774"/>
      <c r="S24" s="775"/>
      <c r="T24" s="774"/>
      <c r="U24" s="775"/>
      <c r="V24" s="774"/>
      <c r="W24" s="775"/>
      <c r="X24" s="1811"/>
      <c r="Y24" s="3166"/>
      <c r="Z24" s="1812"/>
      <c r="AA24" s="1809">
        <v>1</v>
      </c>
      <c r="AB24" s="1809">
        <v>1</v>
      </c>
      <c r="AC24" s="1809">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8"/>
      <c r="Q25" s="1808" t="str">
        <f t="shared" ref="Q25:Q46" si="11">B25</f>
        <v>临街状况</v>
      </c>
      <c r="R25" s="774" t="s">
        <v>17</v>
      </c>
      <c r="S25" s="775">
        <f>F25</f>
        <v>100</v>
      </c>
      <c r="T25" s="774" t="s">
        <v>17</v>
      </c>
      <c r="U25" s="775">
        <f>H25</f>
        <v>100</v>
      </c>
      <c r="V25" s="774" t="s">
        <v>17</v>
      </c>
      <c r="W25" s="775">
        <f>J25</f>
        <v>100</v>
      </c>
      <c r="X25" s="1811"/>
      <c r="Y25" s="3166"/>
      <c r="Z25" s="1812" t="str">
        <f>Q25</f>
        <v>临街状况</v>
      </c>
      <c r="AA25" s="1809">
        <f t="shared" si="3"/>
        <v>1</v>
      </c>
      <c r="AB25" s="1809">
        <f t="shared" si="4"/>
        <v>1</v>
      </c>
      <c r="AC25" s="1809">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8"/>
      <c r="Q26" s="1808" t="str">
        <f t="shared" si="11"/>
        <v>平面位置/可视性</v>
      </c>
      <c r="R26" s="774" t="s">
        <v>17</v>
      </c>
      <c r="S26" s="775">
        <f>F26</f>
        <v>100</v>
      </c>
      <c r="T26" s="774" t="s">
        <v>17</v>
      </c>
      <c r="U26" s="775">
        <f>H26</f>
        <v>100</v>
      </c>
      <c r="V26" s="774" t="s">
        <v>17</v>
      </c>
      <c r="W26" s="775">
        <f>J26</f>
        <v>100</v>
      </c>
      <c r="X26" s="1811"/>
      <c r="Y26" s="3166"/>
      <c r="Z26" s="1812" t="str">
        <f>Q26</f>
        <v>平面位置/可视性</v>
      </c>
      <c r="AA26" s="1809">
        <f t="shared" si="3"/>
        <v>1</v>
      </c>
      <c r="AB26" s="1809">
        <f t="shared" si="4"/>
        <v>1</v>
      </c>
      <c r="AC26" s="1809">
        <f t="shared" si="5"/>
        <v>1</v>
      </c>
    </row>
    <row r="27" spans="1:29" s="117" customFormat="1" ht="15">
      <c r="A27" s="431"/>
      <c r="B27" s="451" t="s">
        <v>2659</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38"/>
      <c r="Q27" s="1793" t="str">
        <f t="shared" si="11"/>
        <v>人流量</v>
      </c>
      <c r="R27" s="770" t="s">
        <v>17</v>
      </c>
      <c r="S27" s="771">
        <f>F27</f>
        <v>100</v>
      </c>
      <c r="T27" s="770" t="s">
        <v>17</v>
      </c>
      <c r="U27" s="771">
        <f>H27</f>
        <v>100</v>
      </c>
      <c r="V27" s="770" t="s">
        <v>17</v>
      </c>
      <c r="W27" s="771">
        <f>J27</f>
        <v>100</v>
      </c>
      <c r="X27" s="772"/>
      <c r="Y27" s="3166"/>
      <c r="Z27" s="55" t="str">
        <f>Q27</f>
        <v>人流量</v>
      </c>
      <c r="AA27" s="1809">
        <f>D27/F27</f>
        <v>1</v>
      </c>
      <c r="AB27" s="1809">
        <f>D27/H27</f>
        <v>1</v>
      </c>
      <c r="AC27" s="1809">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8"/>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66"/>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08">
        <f t="shared" si="11"/>
        <v>111</v>
      </c>
      <c r="R29" s="774" t="s">
        <v>17</v>
      </c>
      <c r="S29" s="775">
        <f t="shared" si="12"/>
        <v>100</v>
      </c>
      <c r="T29" s="774" t="s">
        <v>17</v>
      </c>
      <c r="U29" s="775">
        <f t="shared" si="13"/>
        <v>100</v>
      </c>
      <c r="V29" s="774" t="s">
        <v>17</v>
      </c>
      <c r="W29" s="775">
        <f t="shared" si="14"/>
        <v>100</v>
      </c>
      <c r="X29" s="1811"/>
      <c r="Y29" s="3166"/>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08">
        <f t="shared" si="11"/>
        <v>111</v>
      </c>
      <c r="R30" s="774" t="s">
        <v>17</v>
      </c>
      <c r="S30" s="775">
        <f t="shared" si="12"/>
        <v>100</v>
      </c>
      <c r="T30" s="774" t="s">
        <v>17</v>
      </c>
      <c r="U30" s="775">
        <f t="shared" si="13"/>
        <v>100</v>
      </c>
      <c r="V30" s="774" t="s">
        <v>17</v>
      </c>
      <c r="W30" s="775">
        <f t="shared" si="14"/>
        <v>100</v>
      </c>
      <c r="X30" s="1811"/>
      <c r="Y30" s="3166"/>
      <c r="Z30" s="1812">
        <f t="shared" si="15"/>
        <v>111</v>
      </c>
      <c r="AA30" s="1809">
        <f t="shared" si="3"/>
        <v>1</v>
      </c>
      <c r="AB30" s="1809">
        <f t="shared" si="4"/>
        <v>1</v>
      </c>
      <c r="AC30" s="1809">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08">
        <f t="shared" si="11"/>
        <v>111</v>
      </c>
      <c r="R31" s="774" t="s">
        <v>17</v>
      </c>
      <c r="S31" s="775">
        <f t="shared" si="12"/>
        <v>100</v>
      </c>
      <c r="T31" s="774" t="s">
        <v>17</v>
      </c>
      <c r="U31" s="775">
        <f t="shared" si="13"/>
        <v>100</v>
      </c>
      <c r="V31" s="774" t="s">
        <v>17</v>
      </c>
      <c r="W31" s="775">
        <f t="shared" si="14"/>
        <v>100</v>
      </c>
      <c r="X31" s="1811"/>
      <c r="Y31" s="3166"/>
      <c r="Z31" s="1812">
        <f t="shared" si="15"/>
        <v>111</v>
      </c>
      <c r="AA31" s="1809">
        <f t="shared" si="3"/>
        <v>1</v>
      </c>
      <c r="AB31" s="1809">
        <f t="shared" si="4"/>
        <v>1</v>
      </c>
      <c r="AC31" s="1809">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33" t="s">
        <v>2566</v>
      </c>
      <c r="Q32" s="1808" t="str">
        <f t="shared" si="11"/>
        <v>商业类型</v>
      </c>
      <c r="R32" s="774" t="s">
        <v>17</v>
      </c>
      <c r="S32" s="775">
        <f t="shared" si="12"/>
        <v>100</v>
      </c>
      <c r="T32" s="774" t="s">
        <v>17</v>
      </c>
      <c r="U32" s="775">
        <f t="shared" si="13"/>
        <v>100</v>
      </c>
      <c r="V32" s="774" t="s">
        <v>17</v>
      </c>
      <c r="W32" s="775">
        <f t="shared" si="14"/>
        <v>100</v>
      </c>
      <c r="X32" s="1811"/>
      <c r="Y32" s="3168" t="s">
        <v>2566</v>
      </c>
      <c r="Z32" s="1812" t="str">
        <f t="shared" si="15"/>
        <v>商业类型</v>
      </c>
      <c r="AA32" s="1809">
        <f t="shared" si="3"/>
        <v>1</v>
      </c>
      <c r="AB32" s="1809">
        <f t="shared" si="4"/>
        <v>1</v>
      </c>
      <c r="AC32" s="1809">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4"/>
      <c r="Q33" s="776" t="str">
        <f t="shared" si="11"/>
        <v>项目建筑规模</v>
      </c>
      <c r="R33" s="777" t="s">
        <v>17</v>
      </c>
      <c r="S33" s="778" t="e">
        <f t="shared" si="12"/>
        <v>#N/A</v>
      </c>
      <c r="T33" s="777" t="s">
        <v>17</v>
      </c>
      <c r="U33" s="778" t="e">
        <f t="shared" si="13"/>
        <v>#N/A</v>
      </c>
      <c r="V33" s="777" t="s">
        <v>17</v>
      </c>
      <c r="W33" s="778" t="e">
        <f t="shared" si="14"/>
        <v>#N/A</v>
      </c>
      <c r="X33" s="779"/>
      <c r="Y33" s="3168"/>
      <c r="Z33" s="780" t="str">
        <f t="shared" si="15"/>
        <v>项目建筑规模</v>
      </c>
      <c r="AA33" s="1809" t="e">
        <f t="shared" si="3"/>
        <v>#N/A</v>
      </c>
      <c r="AB33" s="1809" t="e">
        <f t="shared" si="4"/>
        <v>#N/A</v>
      </c>
      <c r="AC33" s="1809" t="e">
        <f t="shared" si="5"/>
        <v>#N/A</v>
      </c>
    </row>
    <row r="34" spans="1:29" ht="15">
      <c r="A34" s="472"/>
      <c r="B34" s="422" t="s">
        <v>2568</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0"/>
      <c r="M34" s="1131"/>
      <c r="N34" s="1131"/>
      <c r="O34" s="1131"/>
      <c r="P34" s="3234"/>
      <c r="Q34" s="1808" t="str">
        <f t="shared" si="11"/>
        <v>建筑结构</v>
      </c>
      <c r="R34" s="774" t="s">
        <v>17</v>
      </c>
      <c r="S34" s="775">
        <f t="shared" si="12"/>
        <v>100</v>
      </c>
      <c r="T34" s="774" t="s">
        <v>17</v>
      </c>
      <c r="U34" s="775">
        <f t="shared" si="13"/>
        <v>100</v>
      </c>
      <c r="V34" s="774" t="s">
        <v>17</v>
      </c>
      <c r="W34" s="775">
        <f t="shared" si="14"/>
        <v>100</v>
      </c>
      <c r="X34" s="1811"/>
      <c r="Y34" s="3168"/>
      <c r="Z34" s="1812" t="str">
        <f t="shared" si="15"/>
        <v>建筑结构</v>
      </c>
      <c r="AA34" s="1809">
        <f t="shared" si="3"/>
        <v>1</v>
      </c>
      <c r="AB34" s="1809">
        <f t="shared" si="4"/>
        <v>1</v>
      </c>
      <c r="AC34" s="1809">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34"/>
      <c r="Q35" s="1808" t="str">
        <f t="shared" si="11"/>
        <v>公共部分装修</v>
      </c>
      <c r="R35" s="774" t="s">
        <v>17</v>
      </c>
      <c r="S35" s="775">
        <f t="shared" si="12"/>
        <v>100</v>
      </c>
      <c r="T35" s="774" t="s">
        <v>17</v>
      </c>
      <c r="U35" s="775">
        <f t="shared" si="13"/>
        <v>100</v>
      </c>
      <c r="V35" s="774" t="s">
        <v>17</v>
      </c>
      <c r="W35" s="775">
        <f t="shared" si="14"/>
        <v>100</v>
      </c>
      <c r="X35" s="1811"/>
      <c r="Y35" s="3168"/>
      <c r="Z35" s="1812" t="str">
        <f t="shared" si="15"/>
        <v>公共部分装修</v>
      </c>
      <c r="AA35" s="1809">
        <f t="shared" si="3"/>
        <v>1</v>
      </c>
      <c r="AB35" s="1809">
        <f t="shared" si="4"/>
        <v>1</v>
      </c>
      <c r="AC35" s="1809">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4"/>
      <c r="Q36" s="1808" t="str">
        <f t="shared" si="11"/>
        <v>成新度</v>
      </c>
      <c r="R36" s="774" t="s">
        <v>17</v>
      </c>
      <c r="S36" s="775" t="e">
        <f t="shared" si="12"/>
        <v>#N/A</v>
      </c>
      <c r="T36" s="774" t="s">
        <v>17</v>
      </c>
      <c r="U36" s="775" t="e">
        <f t="shared" si="13"/>
        <v>#N/A</v>
      </c>
      <c r="V36" s="774" t="s">
        <v>17</v>
      </c>
      <c r="W36" s="775" t="e">
        <f t="shared" si="14"/>
        <v>#N/A</v>
      </c>
      <c r="X36" s="1811"/>
      <c r="Y36" s="3168"/>
      <c r="Z36" s="1812" t="str">
        <f t="shared" si="15"/>
        <v>成新度</v>
      </c>
      <c r="AA36" s="1809" t="e">
        <f t="shared" si="3"/>
        <v>#N/A</v>
      </c>
      <c r="AB36" s="1809" t="e">
        <f t="shared" si="4"/>
        <v>#N/A</v>
      </c>
      <c r="AC36" s="1809" t="e">
        <f t="shared" si="5"/>
        <v>#N/A</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34"/>
      <c r="Q37" s="1793" t="str">
        <f t="shared" si="11"/>
        <v>市政基础设施</v>
      </c>
      <c r="R37" s="770" t="s">
        <v>17</v>
      </c>
      <c r="S37" s="771">
        <f t="shared" si="12"/>
        <v>100</v>
      </c>
      <c r="T37" s="770" t="s">
        <v>17</v>
      </c>
      <c r="U37" s="771">
        <f t="shared" si="13"/>
        <v>100</v>
      </c>
      <c r="V37" s="770" t="s">
        <v>17</v>
      </c>
      <c r="W37" s="771">
        <f t="shared" si="14"/>
        <v>100</v>
      </c>
      <c r="X37" s="772"/>
      <c r="Y37" s="3168"/>
      <c r="Z37" s="55" t="str">
        <f t="shared" si="15"/>
        <v>市政基础设施</v>
      </c>
      <c r="AA37" s="773">
        <f t="shared" si="3"/>
        <v>1</v>
      </c>
      <c r="AB37" s="773">
        <f t="shared" si="4"/>
        <v>1</v>
      </c>
      <c r="AC37" s="773">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34" t="s">
        <v>2566</v>
      </c>
      <c r="Q38" s="1808" t="str">
        <f t="shared" si="11"/>
        <v>业态</v>
      </c>
      <c r="R38" s="774" t="s">
        <v>17</v>
      </c>
      <c r="S38" s="775">
        <f t="shared" si="12"/>
        <v>100</v>
      </c>
      <c r="T38" s="774" t="s">
        <v>17</v>
      </c>
      <c r="U38" s="775">
        <f t="shared" si="13"/>
        <v>100</v>
      </c>
      <c r="V38" s="774" t="s">
        <v>17</v>
      </c>
      <c r="W38" s="775">
        <f t="shared" si="14"/>
        <v>100</v>
      </c>
      <c r="X38" s="1811"/>
      <c r="Y38" s="3168" t="s">
        <v>2566</v>
      </c>
      <c r="Z38" s="1812" t="str">
        <f t="shared" si="15"/>
        <v>业态</v>
      </c>
      <c r="AA38" s="1809">
        <f t="shared" si="3"/>
        <v>1</v>
      </c>
      <c r="AB38" s="1809">
        <f t="shared" si="4"/>
        <v>1</v>
      </c>
      <c r="AC38" s="1809">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34"/>
      <c r="Q39" s="1808" t="str">
        <f t="shared" si="11"/>
        <v>层高</v>
      </c>
      <c r="R39" s="774" t="s">
        <v>17</v>
      </c>
      <c r="S39" s="775">
        <f t="shared" si="12"/>
        <v>100</v>
      </c>
      <c r="T39" s="774" t="s">
        <v>17</v>
      </c>
      <c r="U39" s="775">
        <f t="shared" si="13"/>
        <v>100</v>
      </c>
      <c r="V39" s="774" t="s">
        <v>17</v>
      </c>
      <c r="W39" s="775">
        <f t="shared" si="14"/>
        <v>100</v>
      </c>
      <c r="X39" s="1811"/>
      <c r="Y39" s="3168"/>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4"/>
      <c r="Q40" s="1808" t="str">
        <f t="shared" si="11"/>
        <v>单套建筑面积</v>
      </c>
      <c r="R40" s="774" t="s">
        <v>17</v>
      </c>
      <c r="S40" s="775">
        <f t="shared" si="12"/>
        <v>100</v>
      </c>
      <c r="T40" s="774" t="s">
        <v>17</v>
      </c>
      <c r="U40" s="775">
        <f t="shared" si="13"/>
        <v>100</v>
      </c>
      <c r="V40" s="774" t="s">
        <v>17</v>
      </c>
      <c r="W40" s="775">
        <f t="shared" si="14"/>
        <v>100</v>
      </c>
      <c r="X40" s="1811"/>
      <c r="Y40" s="3168"/>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4"/>
      <c r="Q41" s="776" t="str">
        <f t="shared" si="11"/>
        <v>进深比</v>
      </c>
      <c r="R41" s="777" t="s">
        <v>17</v>
      </c>
      <c r="S41" s="778">
        <f t="shared" si="12"/>
        <v>100</v>
      </c>
      <c r="T41" s="777" t="s">
        <v>17</v>
      </c>
      <c r="U41" s="778">
        <f t="shared" si="13"/>
        <v>100</v>
      </c>
      <c r="V41" s="777" t="s">
        <v>17</v>
      </c>
      <c r="W41" s="778">
        <f t="shared" si="14"/>
        <v>100</v>
      </c>
      <c r="X41" s="779"/>
      <c r="Y41" s="3168"/>
      <c r="Z41" s="780" t="str">
        <f t="shared" si="15"/>
        <v>进深比</v>
      </c>
      <c r="AA41" s="1809">
        <f t="shared" si="3"/>
        <v>1</v>
      </c>
      <c r="AB41" s="1809">
        <f t="shared" si="4"/>
        <v>1</v>
      </c>
      <c r="AC41" s="1809">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34"/>
      <c r="Q42" s="1808" t="str">
        <f t="shared" si="11"/>
        <v>内部装修</v>
      </c>
      <c r="R42" s="774" t="s">
        <v>17</v>
      </c>
      <c r="S42" s="775">
        <f t="shared" si="12"/>
        <v>100</v>
      </c>
      <c r="T42" s="774" t="s">
        <v>17</v>
      </c>
      <c r="U42" s="775">
        <f t="shared" si="13"/>
        <v>100</v>
      </c>
      <c r="V42" s="774" t="s">
        <v>17</v>
      </c>
      <c r="W42" s="775">
        <f t="shared" si="14"/>
        <v>100</v>
      </c>
      <c r="X42" s="1811"/>
      <c r="Y42" s="3168"/>
      <c r="Z42" s="1812" t="str">
        <f t="shared" si="15"/>
        <v>内部装修</v>
      </c>
      <c r="AA42" s="1809">
        <f t="shared" si="3"/>
        <v>1</v>
      </c>
      <c r="AB42" s="1809">
        <f t="shared" si="4"/>
        <v>1</v>
      </c>
      <c r="AC42" s="1809">
        <f t="shared" si="5"/>
        <v>1</v>
      </c>
    </row>
    <row r="43" spans="1:29" ht="28.8">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34"/>
      <c r="Q43" s="1808" t="str">
        <f t="shared" si="11"/>
        <v>内部装修维护情况</v>
      </c>
      <c r="R43" s="774" t="s">
        <v>17</v>
      </c>
      <c r="S43" s="775">
        <f t="shared" si="12"/>
        <v>100</v>
      </c>
      <c r="T43" s="774" t="s">
        <v>17</v>
      </c>
      <c r="U43" s="775">
        <f t="shared" si="13"/>
        <v>100</v>
      </c>
      <c r="V43" s="774" t="s">
        <v>17</v>
      </c>
      <c r="W43" s="775">
        <f t="shared" si="14"/>
        <v>100</v>
      </c>
      <c r="X43" s="1811"/>
      <c r="Y43" s="3168"/>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4"/>
      <c r="Q44" s="1793">
        <f t="shared" si="11"/>
        <v>111</v>
      </c>
      <c r="R44" s="770" t="s">
        <v>17</v>
      </c>
      <c r="S44" s="771">
        <f t="shared" si="12"/>
        <v>100</v>
      </c>
      <c r="T44" s="770" t="s">
        <v>17</v>
      </c>
      <c r="U44" s="771">
        <f t="shared" si="13"/>
        <v>100</v>
      </c>
      <c r="V44" s="770" t="s">
        <v>17</v>
      </c>
      <c r="W44" s="771">
        <f t="shared" si="14"/>
        <v>100</v>
      </c>
      <c r="X44" s="772"/>
      <c r="Y44" s="316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4"/>
      <c r="Q45" s="1808">
        <f t="shared" si="11"/>
        <v>111</v>
      </c>
      <c r="R45" s="774" t="s">
        <v>17</v>
      </c>
      <c r="S45" s="775">
        <f t="shared" si="12"/>
        <v>100</v>
      </c>
      <c r="T45" s="774" t="s">
        <v>17</v>
      </c>
      <c r="U45" s="775">
        <f t="shared" si="13"/>
        <v>100</v>
      </c>
      <c r="V45" s="774" t="s">
        <v>17</v>
      </c>
      <c r="W45" s="775">
        <f t="shared" si="14"/>
        <v>100</v>
      </c>
      <c r="X45" s="1811"/>
      <c r="Y45" s="3168"/>
      <c r="Z45" s="1812">
        <f t="shared" si="15"/>
        <v>111</v>
      </c>
      <c r="AA45" s="1809">
        <f t="shared" si="3"/>
        <v>1</v>
      </c>
      <c r="AB45" s="1809">
        <f t="shared" si="4"/>
        <v>1</v>
      </c>
      <c r="AC45" s="1809">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5"/>
      <c r="Q46" s="1808">
        <f t="shared" si="11"/>
        <v>111</v>
      </c>
      <c r="R46" s="774" t="s">
        <v>17</v>
      </c>
      <c r="S46" s="775">
        <f t="shared" si="12"/>
        <v>100</v>
      </c>
      <c r="T46" s="774" t="s">
        <v>17</v>
      </c>
      <c r="U46" s="775">
        <f t="shared" si="13"/>
        <v>100</v>
      </c>
      <c r="V46" s="774" t="s">
        <v>17</v>
      </c>
      <c r="W46" s="775">
        <f t="shared" si="14"/>
        <v>100</v>
      </c>
      <c r="X46" s="1811"/>
      <c r="Y46" s="3236"/>
      <c r="Z46" s="1812">
        <f t="shared" si="15"/>
        <v>111</v>
      </c>
      <c r="AA46" s="1809">
        <f t="shared" si="3"/>
        <v>1</v>
      </c>
      <c r="AB46" s="1809">
        <f t="shared" si="4"/>
        <v>1</v>
      </c>
      <c r="AC46" s="1809">
        <f t="shared" si="5"/>
        <v>1</v>
      </c>
    </row>
    <row r="47" spans="1:29" ht="14.4">
      <c r="A47" s="479" t="s">
        <v>2578</v>
      </c>
      <c r="B47" s="480"/>
      <c r="C47" s="1406" t="s">
        <v>1</v>
      </c>
      <c r="D47" s="1407"/>
      <c r="E47" s="1408"/>
      <c r="F47" s="1409"/>
      <c r="G47" s="1410"/>
      <c r="H47" s="1411"/>
      <c r="I47" s="1408"/>
      <c r="J47" s="1411"/>
      <c r="K47" s="783"/>
      <c r="L47" s="1143"/>
      <c r="M47" s="1144"/>
      <c r="N47" s="1131"/>
      <c r="O47" s="1144"/>
      <c r="P47" s="3163" t="str">
        <f>A47</f>
        <v>成交单价（元/平方米）</v>
      </c>
      <c r="Q47" s="3163"/>
      <c r="R47" s="3169">
        <f>E47</f>
        <v>0</v>
      </c>
      <c r="S47" s="3169"/>
      <c r="T47" s="3169">
        <f>G47</f>
        <v>0</v>
      </c>
      <c r="U47" s="3169"/>
      <c r="V47" s="3169">
        <f>I47</f>
        <v>0</v>
      </c>
      <c r="W47" s="3169"/>
      <c r="X47" s="759"/>
      <c r="Y47" s="781"/>
      <c r="Z47" s="759"/>
      <c r="AA47" s="759"/>
      <c r="AB47" s="759"/>
      <c r="AC47" s="759"/>
    </row>
    <row r="48" spans="1:29" ht="1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63" t="str">
        <f>A48</f>
        <v>比较价值（元/平方米）</v>
      </c>
      <c r="Q48" s="3163"/>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 thickBot="1">
      <c r="A49" s="492" t="s">
        <v>2671</v>
      </c>
      <c r="B49" s="493"/>
      <c r="C49" s="1416" t="e">
        <f>R49</f>
        <v>#DIV/0!</v>
      </c>
      <c r="D49" s="1416"/>
      <c r="E49" s="1416"/>
      <c r="F49" s="1416"/>
      <c r="G49" s="1416"/>
      <c r="H49" s="1416"/>
      <c r="I49" s="1416"/>
      <c r="J49" s="1416"/>
      <c r="K49" s="785"/>
      <c r="L49" s="1143"/>
      <c r="M49" s="1144"/>
      <c r="N49" s="1131"/>
      <c r="O49" s="1144"/>
      <c r="P49" s="3157" t="str">
        <f>A49</f>
        <v>估价对象XX用房的比较价值（楼面单价，元/平方米）</v>
      </c>
      <c r="Q49" s="3158"/>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4.4">
      <c r="A58" s="505" t="s">
        <v>2549</v>
      </c>
      <c r="B58" s="506"/>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7" customFormat="1">
      <c r="A59" s="509"/>
      <c r="B59" s="510"/>
      <c r="C59" s="1571">
        <v>100</v>
      </c>
      <c r="D59" s="512"/>
      <c r="E59" s="512"/>
      <c r="F59" s="512"/>
      <c r="G59" s="512"/>
      <c r="H59" s="512"/>
      <c r="I59" s="512"/>
      <c r="J59" s="512"/>
      <c r="K59" s="512"/>
      <c r="L59" s="512"/>
      <c r="M59" s="513"/>
      <c r="N59" s="512"/>
      <c r="O59" s="513"/>
      <c r="P59" s="2622"/>
    </row>
    <row r="60" spans="1:29" s="117" customFormat="1" ht="15" thickBot="1">
      <c r="A60" s="515" t="s">
        <v>2586</v>
      </c>
      <c r="B60" s="516"/>
      <c r="C60" s="517"/>
      <c r="D60" s="518"/>
      <c r="E60" s="518"/>
      <c r="F60" s="518"/>
      <c r="G60" s="518"/>
      <c r="H60" s="518"/>
      <c r="I60" s="518"/>
      <c r="J60" s="518"/>
      <c r="K60" s="518"/>
      <c r="L60" s="518"/>
      <c r="M60" s="519"/>
      <c r="N60" s="518"/>
      <c r="O60" s="519"/>
      <c r="P60" s="2622"/>
      <c r="Q60" s="504"/>
    </row>
    <row r="61" spans="1:29" s="117" customFormat="1" ht="14.4">
      <c r="A61" s="521" t="s">
        <v>2551</v>
      </c>
      <c r="B61" s="510"/>
      <c r="C61" s="522" t="s">
        <v>2653</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2589</v>
      </c>
      <c r="B63" s="528" t="s">
        <v>2555</v>
      </c>
      <c r="C63" s="529">
        <f>C9</f>
        <v>0</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c r="A68" s="534"/>
      <c r="B68" s="548"/>
      <c r="C68" s="549"/>
      <c r="D68" s="549"/>
      <c r="E68" s="549"/>
      <c r="F68" s="549"/>
      <c r="G68" s="549"/>
      <c r="H68" s="549"/>
      <c r="I68" s="549"/>
      <c r="J68" s="549"/>
      <c r="K68" s="550"/>
      <c r="L68" s="551"/>
      <c r="M68" s="552"/>
      <c r="N68" s="1152"/>
      <c r="O68" s="1152"/>
      <c r="P68" s="262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36"/>
      <c r="E73" s="536"/>
      <c r="F73" s="536"/>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2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2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2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 thickTop="1">
      <c r="A82" s="534"/>
      <c r="B82" s="546" t="s">
        <v>2656</v>
      </c>
      <c r="C82" s="660" t="s">
        <v>2676</v>
      </c>
      <c r="D82" s="660" t="s">
        <v>2677</v>
      </c>
      <c r="E82" s="660" t="s">
        <v>2678</v>
      </c>
      <c r="F82" s="660" t="s">
        <v>2679</v>
      </c>
      <c r="G82" s="660" t="s">
        <v>2680</v>
      </c>
      <c r="H82" s="539"/>
      <c r="I82" s="539"/>
      <c r="J82" s="539"/>
      <c r="K82" s="539"/>
      <c r="L82" s="539"/>
      <c r="M82" s="1382"/>
      <c r="N82" s="1153"/>
      <c r="O82" s="1153"/>
      <c r="P82" s="262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2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 thickTop="1">
      <c r="A86" s="579"/>
      <c r="B86" s="538" t="s">
        <v>2681</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4.4"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4.4" thickBot="1">
      <c r="A89" s="579"/>
      <c r="B89" s="543"/>
      <c r="C89" s="560"/>
      <c r="D89" s="536"/>
      <c r="E89" s="536"/>
      <c r="F89" s="536"/>
      <c r="G89" s="536"/>
      <c r="H89" s="536"/>
      <c r="I89" s="536"/>
      <c r="J89" s="536"/>
      <c r="K89" s="536"/>
      <c r="L89" s="536"/>
      <c r="M89" s="536"/>
      <c r="N89" s="1153"/>
      <c r="O89" s="1153"/>
      <c r="P89" s="2624"/>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4.4" thickTop="1">
      <c r="A92" s="534"/>
      <c r="B92" s="538" t="str">
        <f>B28</f>
        <v>楼层</v>
      </c>
      <c r="C92" s="554"/>
      <c r="D92" s="554"/>
      <c r="E92" s="554"/>
      <c r="F92" s="554"/>
      <c r="G92" s="554"/>
      <c r="H92" s="554"/>
      <c r="I92" s="554"/>
      <c r="J92" s="554"/>
      <c r="K92" s="554"/>
      <c r="L92" s="580"/>
      <c r="M92" s="581"/>
      <c r="N92" s="1152"/>
      <c r="O92" s="1152"/>
      <c r="P92" s="2624"/>
      <c r="Q92" s="504"/>
    </row>
    <row r="93" spans="1:17" ht="14.4" thickBot="1">
      <c r="A93" s="534"/>
      <c r="B93" s="543"/>
      <c r="C93" s="536"/>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36"/>
      <c r="E95" s="536"/>
      <c r="F95" s="536"/>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60"/>
      <c r="D97" s="536"/>
      <c r="E97" s="536"/>
      <c r="F97" s="536"/>
      <c r="G97" s="536"/>
      <c r="H97" s="536"/>
      <c r="I97" s="536"/>
      <c r="J97" s="536"/>
      <c r="K97" s="536"/>
      <c r="L97" s="536"/>
      <c r="M97" s="537"/>
      <c r="N97" s="1153"/>
      <c r="O97" s="1153"/>
      <c r="P97" s="2624"/>
      <c r="Q97" s="504"/>
    </row>
    <row r="98" spans="1:17" ht="14.4" thickTop="1">
      <c r="A98" s="534"/>
      <c r="B98" s="546">
        <f>B31</f>
        <v>111</v>
      </c>
      <c r="C98" s="554"/>
      <c r="D98" s="554"/>
      <c r="E98" s="554"/>
      <c r="F98" s="554"/>
      <c r="G98" s="587"/>
      <c r="H98" s="587"/>
      <c r="I98" s="587"/>
      <c r="J98" s="587"/>
      <c r="K98" s="588"/>
      <c r="L98" s="589"/>
      <c r="M98" s="590"/>
      <c r="N98" s="1152"/>
      <c r="O98" s="1152"/>
      <c r="P98" s="2624"/>
      <c r="Q98" s="504"/>
    </row>
    <row r="99" spans="1:17" ht="14.4" thickBot="1">
      <c r="A99" s="2630"/>
      <c r="B99" s="569"/>
      <c r="C99" s="570"/>
      <c r="D99" s="570"/>
      <c r="E99" s="570"/>
      <c r="F99" s="570"/>
      <c r="G99" s="591"/>
      <c r="H99" s="591"/>
      <c r="I99" s="591"/>
      <c r="J99" s="591"/>
      <c r="K99" s="591"/>
      <c r="L99" s="591"/>
      <c r="M99" s="592"/>
      <c r="N99" s="1153"/>
      <c r="O99" s="1153"/>
      <c r="P99" s="2624"/>
      <c r="Q99" s="504"/>
    </row>
    <row r="100" spans="1:17" ht="14.4">
      <c r="A100" s="527" t="s">
        <v>2564</v>
      </c>
      <c r="B100" s="528" t="s">
        <v>2682</v>
      </c>
      <c r="C100" s="530"/>
      <c r="D100" s="530"/>
      <c r="E100" s="530"/>
      <c r="F100" s="530"/>
      <c r="G100" s="530"/>
      <c r="H100" s="530"/>
      <c r="I100" s="530"/>
      <c r="J100" s="530"/>
      <c r="K100" s="531"/>
      <c r="L100" s="532"/>
      <c r="M100" s="533"/>
      <c r="N100" s="1152"/>
      <c r="O100" s="1152"/>
      <c r="P100" s="262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2615</v>
      </c>
      <c r="C105" s="554"/>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2617</v>
      </c>
      <c r="C107" s="554"/>
      <c r="D107" s="554"/>
      <c r="E107" s="554"/>
      <c r="F107" s="583"/>
      <c r="G107" s="583"/>
      <c r="H107" s="583"/>
      <c r="I107" s="583"/>
      <c r="J107" s="583"/>
      <c r="K107" s="584"/>
      <c r="L107" s="585"/>
      <c r="M107" s="586"/>
      <c r="N107" s="1152"/>
      <c r="O107" s="1152"/>
      <c r="P107" s="262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2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2683</v>
      </c>
      <c r="C114" s="554"/>
      <c r="D114" s="554"/>
      <c r="E114" s="583"/>
      <c r="F114" s="583"/>
      <c r="G114" s="583"/>
      <c r="H114" s="583"/>
      <c r="I114" s="583"/>
      <c r="J114" s="583"/>
      <c r="K114" s="584"/>
      <c r="L114" s="585"/>
      <c r="M114" s="586"/>
      <c r="N114" s="1152"/>
      <c r="O114" s="1152"/>
      <c r="P114" s="262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2684</v>
      </c>
      <c r="C116" s="554"/>
      <c r="D116" s="554"/>
      <c r="E116" s="554"/>
      <c r="F116" s="554"/>
      <c r="G116" s="554"/>
      <c r="H116" s="583"/>
      <c r="I116" s="583"/>
      <c r="J116" s="583"/>
      <c r="K116" s="584"/>
      <c r="L116" s="585"/>
      <c r="M116" s="586"/>
      <c r="N116" s="1152"/>
      <c r="O116" s="1152"/>
      <c r="P116" s="262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2685</v>
      </c>
      <c r="C118" s="627"/>
      <c r="D118" s="627"/>
      <c r="E118" s="627"/>
      <c r="F118" s="627"/>
      <c r="G118" s="627"/>
      <c r="H118" s="555"/>
      <c r="I118" s="555"/>
      <c r="J118" s="555"/>
      <c r="K118" s="555"/>
      <c r="L118" s="556"/>
      <c r="M118" s="557"/>
      <c r="N118" s="1152"/>
      <c r="O118" s="1152"/>
      <c r="P118" s="2624"/>
      <c r="Q118" s="504"/>
    </row>
    <row r="119" spans="1:17" ht="14.4"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2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2621</v>
      </c>
      <c r="C122" s="554"/>
      <c r="D122" s="554"/>
      <c r="E122" s="554"/>
      <c r="F122" s="583"/>
      <c r="G122" s="583"/>
      <c r="H122" s="583"/>
      <c r="I122" s="583"/>
      <c r="J122" s="583"/>
      <c r="K122" s="584"/>
      <c r="L122" s="585"/>
      <c r="M122" s="586"/>
      <c r="N122" s="1152"/>
      <c r="O122" s="1152"/>
      <c r="P122" s="262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f>B45</f>
        <v>111</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36"/>
      <c r="E129" s="536"/>
      <c r="F129" s="536"/>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1611</v>
      </c>
    </row>
    <row r="2" spans="1:1">
      <c r="A2" s="1944"/>
    </row>
    <row r="3" spans="1:1" ht="17.399999999999999">
      <c r="A3" s="1945" t="str">
        <f>项目基本情况!B5&amp;"："</f>
        <v>桂林恒大房地产有限公司：</v>
      </c>
    </row>
    <row r="4" spans="1:1" ht="52.2">
      <c r="A4" s="1946" t="str">
        <f>"受贵公司委托，我公司对"&amp;项目基本情况!S1&amp;"进行了预评估。"</f>
        <v>受贵公司委托，我公司对广西自治区叠彩区站前路以北、春江路以东、漓江以西出让国有建设用地使用权及在建建筑物房地产抵押价值进行了预评估。</v>
      </c>
    </row>
    <row r="5" spans="1:1" ht="17.399999999999999">
      <c r="A5" s="1947" t="s">
        <v>1612</v>
      </c>
    </row>
    <row r="6" spans="1:1" ht="17.399999999999999">
      <c r="A6" s="1948" t="s">
        <v>1613</v>
      </c>
    </row>
    <row r="7" spans="1:1" ht="87">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自治区叠彩区站前路以北、春江路以东、漓江以西出让国有建设用地使用权及在建建筑物房地产，为桂林恒大房地产有限公司所有。根据《不动产权证书》[桂（2016）桂林市不动产权第0000009号]，估价对象（分摊）出让国有建设用地使用权面积为28191.57平方米，建筑面积为49782.53平方米。</v>
      </c>
    </row>
    <row r="8" spans="1:1" ht="54.6">
      <c r="A8" s="1949" t="s">
        <v>1614</v>
      </c>
    </row>
    <row r="9" spans="1:1" ht="17.399999999999999">
      <c r="A9" s="1948" t="s">
        <v>1615</v>
      </c>
    </row>
    <row r="10" spans="1:1" ht="87">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自治区叠彩区站前路以北、春江路以东、漓江以西出让国有建设用地使用权及在建建筑物房地产,属桂林恒大房地产有限公司开发建设的居住项目，该项目尚在开发建设中。根据《不动产权证书》[桂（2016）桂林市不动产权第0000009号]，估价对象（分摊）出让国有建设用地使用权面积为28191.57平方米，规划建筑面积为49782.53平方米。</v>
      </c>
    </row>
    <row r="11" spans="1:1" ht="72">
      <c r="A11" s="1949" t="s">
        <v>1616</v>
      </c>
    </row>
    <row r="12" spans="1:1" ht="17.399999999999999">
      <c r="A12" s="1947" t="s">
        <v>1617</v>
      </c>
    </row>
    <row r="13" spans="1:1" ht="38.25" customHeight="1">
      <c r="A13" s="1950" t="str">
        <f>IF(项目基本情况!B8="抵押",IF(项目基本情况!B5=项目基本情况!B6,定义!C51,定义!B51),定义!D51)</f>
        <v>为估价委托人在向中粮信托办理贷款手续过程中，确定房地产抵押贷款额度提供参考依据而评估房地产抵押价值。</v>
      </c>
    </row>
    <row r="14" spans="1:1" ht="17.399999999999999">
      <c r="A14" s="1951" t="s">
        <v>1618</v>
      </c>
    </row>
    <row r="15" spans="1:1" ht="17.399999999999999">
      <c r="A15" s="1952" t="str">
        <f>TEXT(项目基本情况!D3,"yyyy年m月d日;;")&amp;IF(项目基本情况!D3=项目基本情况!B3,"（评估专业人员实地查勘之日）","")</f>
        <v>2018年8月30日（评估专业人员实地查勘之日）</v>
      </c>
    </row>
    <row r="16" spans="1:1" ht="17.399999999999999">
      <c r="A16" s="1951" t="s">
        <v>1619</v>
      </c>
    </row>
    <row r="17" spans="1:1" ht="69.599999999999994">
      <c r="A17" s="1946" t="s">
        <v>1620</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1609</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663" t="s">
        <v>2687</v>
      </c>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IF(C2="——",ROUND(C50*D3/10000,0),ROUND(C50*D3/10000,0)-D2)</f>
        <v>#DIV/0!</v>
      </c>
      <c r="C2" s="2583"/>
      <c r="D2" s="1365" t="e">
        <f ca="1">SUMIF(INDIRECT("'"&amp;F2&amp;"'"&amp;"!A:A"),"承租人权益价值",INDIRECT("'"&amp;F2&amp;"'"&amp;"!c:c"))</f>
        <v>#REF!</v>
      </c>
      <c r="E2" s="2584" t="s">
        <v>2332</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49782.53</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2646</v>
      </c>
      <c r="B4" s="402"/>
      <c r="C4" s="3160" t="s">
        <v>2647</v>
      </c>
      <c r="D4" s="3173"/>
      <c r="E4" s="3174" t="s">
        <v>2648</v>
      </c>
      <c r="F4" s="3175"/>
      <c r="G4" s="3160" t="s">
        <v>2649</v>
      </c>
      <c r="H4" s="3173"/>
      <c r="I4" s="3160" t="s">
        <v>2650</v>
      </c>
      <c r="J4" s="3173"/>
      <c r="K4" s="610" t="s">
        <v>2651</v>
      </c>
      <c r="L4" s="1130"/>
      <c r="M4" s="1131"/>
      <c r="N4" s="1131"/>
      <c r="O4" s="1131"/>
      <c r="P4" s="3248" t="s">
        <v>2652</v>
      </c>
      <c r="Q4" s="3249"/>
      <c r="R4" s="3252" t="s">
        <v>2648</v>
      </c>
      <c r="S4" s="3253"/>
      <c r="T4" s="3252" t="s">
        <v>2649</v>
      </c>
      <c r="U4" s="3253"/>
      <c r="V4" s="3254" t="s">
        <v>2650</v>
      </c>
      <c r="W4" s="3254"/>
      <c r="X4" s="2664"/>
      <c r="Y4" s="3252" t="s">
        <v>2652</v>
      </c>
      <c r="Z4" s="3253"/>
      <c r="AA4" s="3256" t="s">
        <v>2648</v>
      </c>
      <c r="AB4" s="3256" t="s">
        <v>2649</v>
      </c>
      <c r="AC4" s="3245" t="s">
        <v>2650</v>
      </c>
    </row>
    <row r="5" spans="1:29">
      <c r="A5" s="404"/>
      <c r="B5" s="405"/>
      <c r="C5" s="3190" t="s">
        <v>2543</v>
      </c>
      <c r="D5" s="3191"/>
      <c r="E5" s="3199" t="s">
        <v>2544</v>
      </c>
      <c r="F5" s="3200"/>
      <c r="G5" s="3190" t="s">
        <v>2545</v>
      </c>
      <c r="H5" s="3191"/>
      <c r="I5" s="3190" t="s">
        <v>2546</v>
      </c>
      <c r="J5" s="3191"/>
      <c r="K5" s="610"/>
      <c r="L5" s="1130"/>
      <c r="M5" s="1131"/>
      <c r="N5" s="1131"/>
      <c r="O5" s="1131"/>
      <c r="P5" s="3250"/>
      <c r="Q5" s="3179"/>
      <c r="R5" s="3184"/>
      <c r="S5" s="3185"/>
      <c r="T5" s="3184"/>
      <c r="U5" s="3185"/>
      <c r="V5" s="3169"/>
      <c r="W5" s="3169"/>
      <c r="X5" s="1811"/>
      <c r="Y5" s="3184"/>
      <c r="Z5" s="3185"/>
      <c r="AA5" s="3171"/>
      <c r="AB5" s="3171"/>
      <c r="AC5" s="3246"/>
    </row>
    <row r="6" spans="1:29" ht="15" thickBot="1">
      <c r="A6" s="406"/>
      <c r="B6" s="407"/>
      <c r="C6" s="3188" t="s">
        <v>2547</v>
      </c>
      <c r="D6" s="3189"/>
      <c r="E6" s="3197" t="s">
        <v>2547</v>
      </c>
      <c r="F6" s="3198"/>
      <c r="G6" s="3188" t="s">
        <v>2547</v>
      </c>
      <c r="H6" s="3189"/>
      <c r="I6" s="3188" t="s">
        <v>2547</v>
      </c>
      <c r="J6" s="3189"/>
      <c r="K6" s="610" t="s">
        <v>2548</v>
      </c>
      <c r="L6" s="1130"/>
      <c r="M6" s="1131"/>
      <c r="N6" s="1131"/>
      <c r="O6" s="1131"/>
      <c r="P6" s="3251"/>
      <c r="Q6" s="3181"/>
      <c r="R6" s="3184"/>
      <c r="S6" s="3185"/>
      <c r="T6" s="3186"/>
      <c r="U6" s="3187"/>
      <c r="V6" s="3169"/>
      <c r="W6" s="3169"/>
      <c r="X6" s="1811"/>
      <c r="Y6" s="3186"/>
      <c r="Z6" s="3187"/>
      <c r="AA6" s="3172"/>
      <c r="AB6" s="3172"/>
      <c r="AC6" s="3247"/>
    </row>
    <row r="7" spans="1:29" s="117" customFormat="1" ht="15" thickBot="1">
      <c r="A7" s="408" t="s">
        <v>2549</v>
      </c>
      <c r="B7" s="409"/>
      <c r="C7" s="410">
        <f>'数据-取费表'!B2</f>
        <v>43342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5"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2665" t="e">
        <f>D7/J7</f>
        <v>#DIV/0!</v>
      </c>
    </row>
    <row r="8" spans="1:29" s="117" customFormat="1" ht="1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5" t="s">
        <v>2553</v>
      </c>
      <c r="Q8" s="3193"/>
      <c r="R8" s="770" t="s">
        <v>17</v>
      </c>
      <c r="S8" s="771">
        <f t="shared" si="0"/>
        <v>0</v>
      </c>
      <c r="T8" s="770" t="s">
        <v>17</v>
      </c>
      <c r="U8" s="771">
        <f t="shared" si="1"/>
        <v>0</v>
      </c>
      <c r="V8" s="770" t="s">
        <v>17</v>
      </c>
      <c r="W8" s="771">
        <f t="shared" si="2"/>
        <v>0</v>
      </c>
      <c r="X8" s="772"/>
      <c r="Y8" s="3192" t="s">
        <v>2553</v>
      </c>
      <c r="Z8" s="3193"/>
      <c r="AA8" s="773" t="e">
        <f t="shared" ref="AA8:AA47" si="3">D8/F8</f>
        <v>#DIV/0!</v>
      </c>
      <c r="AB8" s="773" t="e">
        <f t="shared" ref="AB8:AB47" si="4">D8/H8</f>
        <v>#DIV/0!</v>
      </c>
      <c r="AC8" s="2665" t="e">
        <f t="shared" ref="AC8:AC47" si="5">D8/J8</f>
        <v>#DIV/0!</v>
      </c>
    </row>
    <row r="9" spans="1:29" s="117" customFormat="1" ht="14.4">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2" t="s">
        <v>2556</v>
      </c>
      <c r="Q9" s="1793"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2665">
        <f t="shared" si="5"/>
        <v>1</v>
      </c>
    </row>
    <row r="10" spans="1:29" s="427" customFormat="1" ht="28.8">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62"/>
      <c r="Q10" s="1793"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6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2"/>
      <c r="Q11" s="1793"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65" t="e">
        <f t="shared" si="5"/>
        <v>#N/A</v>
      </c>
    </row>
    <row r="12" spans="1:29" s="117" customFormat="1" ht="15">
      <c r="A12" s="431"/>
      <c r="B12" s="2596">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162"/>
      <c r="Q12" s="1793">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65">
        <f>D12/J12</f>
        <v>1</v>
      </c>
    </row>
    <row r="13" spans="1:29" ht="15">
      <c r="A13" s="428"/>
      <c r="B13" s="2596">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162"/>
      <c r="Q13" s="1793">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65">
        <f t="shared" si="5"/>
        <v>1</v>
      </c>
    </row>
    <row r="14" spans="1:29" ht="15.6" thickBot="1">
      <c r="A14" s="436"/>
      <c r="B14" s="2598">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162"/>
      <c r="Q14" s="1793">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65">
        <f t="shared" si="5"/>
        <v>1</v>
      </c>
    </row>
    <row r="15" spans="1:29" ht="69">
      <c r="A15" s="440" t="s">
        <v>2560</v>
      </c>
      <c r="B15" s="629" t="s">
        <v>2688</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7" t="s">
        <v>2561</v>
      </c>
      <c r="Q15" s="1808" t="str">
        <f t="shared" si="6"/>
        <v>办公集聚程度</v>
      </c>
      <c r="R15" s="774" t="s">
        <v>17</v>
      </c>
      <c r="S15" s="775">
        <f t="shared" si="0"/>
        <v>100</v>
      </c>
      <c r="T15" s="774" t="s">
        <v>17</v>
      </c>
      <c r="U15" s="775">
        <f t="shared" si="1"/>
        <v>100</v>
      </c>
      <c r="V15" s="774" t="s">
        <v>17</v>
      </c>
      <c r="W15" s="775">
        <f t="shared" si="2"/>
        <v>100</v>
      </c>
      <c r="X15" s="1811"/>
      <c r="Y15" s="3165" t="s">
        <v>2561</v>
      </c>
      <c r="Z15" s="1812" t="str">
        <f t="shared" si="7"/>
        <v>办公集聚程度</v>
      </c>
      <c r="AA15" s="1809">
        <f t="shared" si="3"/>
        <v>1</v>
      </c>
      <c r="AB15" s="1809">
        <f t="shared" si="4"/>
        <v>1</v>
      </c>
      <c r="AC15" s="2668">
        <f t="shared" si="5"/>
        <v>1</v>
      </c>
    </row>
    <row r="16" spans="1:29" ht="15">
      <c r="A16" s="428"/>
      <c r="B16" s="630"/>
      <c r="C16" s="2607"/>
      <c r="D16" s="448"/>
      <c r="E16" s="447"/>
      <c r="F16" s="448"/>
      <c r="G16" s="2607"/>
      <c r="H16" s="450"/>
      <c r="I16" s="447"/>
      <c r="J16" s="448"/>
      <c r="K16" s="615"/>
      <c r="L16" s="1140"/>
      <c r="M16" s="1131"/>
      <c r="N16" s="1131"/>
      <c r="O16" s="1131"/>
      <c r="P16" s="3238"/>
      <c r="Q16" s="1808"/>
      <c r="R16" s="774"/>
      <c r="S16" s="775"/>
      <c r="T16" s="774"/>
      <c r="U16" s="775"/>
      <c r="V16" s="774"/>
      <c r="W16" s="775"/>
      <c r="X16" s="1811"/>
      <c r="Y16" s="3166"/>
      <c r="Z16" s="1812"/>
      <c r="AA16" s="1809">
        <v>1</v>
      </c>
      <c r="AB16" s="1809">
        <v>1</v>
      </c>
      <c r="AC16" s="2668">
        <v>1</v>
      </c>
    </row>
    <row r="17" spans="1:29" ht="82.8">
      <c r="A17" s="428"/>
      <c r="B17" s="631" t="s">
        <v>2099</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8"/>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2668">
        <f t="shared" si="5"/>
        <v>1</v>
      </c>
    </row>
    <row r="18" spans="1:29" ht="15">
      <c r="A18" s="428"/>
      <c r="B18" s="632"/>
      <c r="C18" s="2670"/>
      <c r="D18" s="450"/>
      <c r="E18" s="2605"/>
      <c r="F18" s="450"/>
      <c r="G18" s="2606"/>
      <c r="H18" s="448"/>
      <c r="I18" s="2606"/>
      <c r="J18" s="448"/>
      <c r="K18" s="615"/>
      <c r="L18" s="1140"/>
      <c r="M18" s="1131"/>
      <c r="N18" s="1131"/>
      <c r="O18" s="1131"/>
      <c r="P18" s="3238"/>
      <c r="Q18" s="1808"/>
      <c r="R18" s="774"/>
      <c r="S18" s="775"/>
      <c r="T18" s="774"/>
      <c r="U18" s="775"/>
      <c r="V18" s="774"/>
      <c r="W18" s="775"/>
      <c r="X18" s="1811"/>
      <c r="Y18" s="3166"/>
      <c r="Z18" s="1812"/>
      <c r="AA18" s="1809">
        <v>1</v>
      </c>
      <c r="AB18" s="1809">
        <v>1</v>
      </c>
      <c r="AC18" s="2668">
        <v>1</v>
      </c>
    </row>
    <row r="19" spans="1:29" ht="41.4">
      <c r="A19" s="428"/>
      <c r="B19" s="631" t="s">
        <v>2689</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8"/>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2668">
        <f t="shared" si="5"/>
        <v>1</v>
      </c>
    </row>
    <row r="20" spans="1:29" ht="15">
      <c r="A20" s="428"/>
      <c r="B20" s="632"/>
      <c r="C20" s="2607"/>
      <c r="D20" s="448"/>
      <c r="E20" s="2600"/>
      <c r="F20" s="448"/>
      <c r="G20" s="2601"/>
      <c r="H20" s="448"/>
      <c r="I20" s="2601"/>
      <c r="J20" s="448"/>
      <c r="K20" s="615"/>
      <c r="L20" s="1140"/>
      <c r="M20" s="1131"/>
      <c r="N20" s="1131"/>
      <c r="O20" s="1131"/>
      <c r="P20" s="3238"/>
      <c r="Q20" s="1808"/>
      <c r="R20" s="774"/>
      <c r="S20" s="775"/>
      <c r="T20" s="774"/>
      <c r="U20" s="775"/>
      <c r="V20" s="774"/>
      <c r="W20" s="775"/>
      <c r="X20" s="1811"/>
      <c r="Y20" s="3166"/>
      <c r="Z20" s="1812"/>
      <c r="AA20" s="1809">
        <v>1</v>
      </c>
      <c r="AB20" s="1809">
        <v>1</v>
      </c>
      <c r="AC20" s="2668">
        <v>1</v>
      </c>
    </row>
    <row r="21" spans="1:29" ht="27.6">
      <c r="A21" s="428"/>
      <c r="B21" s="633" t="s">
        <v>2690</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8"/>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2668">
        <f t="shared" ref="AC21" si="10">D21/J21</f>
        <v>1</v>
      </c>
    </row>
    <row r="22" spans="1:29" ht="15">
      <c r="A22" s="428"/>
      <c r="B22" s="633"/>
      <c r="C22" s="2670"/>
      <c r="D22" s="448"/>
      <c r="E22" s="447"/>
      <c r="F22" s="448"/>
      <c r="G22" s="2607"/>
      <c r="H22" s="448"/>
      <c r="I22" s="2607"/>
      <c r="J22" s="448"/>
      <c r="K22" s="1383"/>
      <c r="L22" s="1140"/>
      <c r="M22" s="1131"/>
      <c r="N22" s="1131"/>
      <c r="O22" s="1131"/>
      <c r="P22" s="3238"/>
      <c r="Q22" s="1808"/>
      <c r="R22" s="774"/>
      <c r="S22" s="775"/>
      <c r="T22" s="774"/>
      <c r="U22" s="775"/>
      <c r="V22" s="774"/>
      <c r="W22" s="775"/>
      <c r="X22" s="1811"/>
      <c r="Y22" s="3166"/>
      <c r="Z22" s="1812"/>
      <c r="AA22" s="1809">
        <v>1</v>
      </c>
      <c r="AB22" s="1809">
        <v>1</v>
      </c>
      <c r="AC22" s="2668">
        <v>1</v>
      </c>
    </row>
    <row r="23" spans="1:29" ht="55.2">
      <c r="A23" s="428"/>
      <c r="B23" s="631" t="s">
        <v>2691</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8"/>
      <c r="Q23" s="1808" t="str">
        <f>B23</f>
        <v>环境质量</v>
      </c>
      <c r="R23" s="774" t="s">
        <v>17</v>
      </c>
      <c r="S23" s="775">
        <f>F23</f>
        <v>100</v>
      </c>
      <c r="T23" s="774" t="s">
        <v>17</v>
      </c>
      <c r="U23" s="775">
        <f>H23</f>
        <v>100</v>
      </c>
      <c r="V23" s="774" t="s">
        <v>17</v>
      </c>
      <c r="W23" s="775">
        <f>J23</f>
        <v>100</v>
      </c>
      <c r="X23" s="1811"/>
      <c r="Y23" s="3166"/>
      <c r="Z23" s="1812" t="str">
        <f>Q23</f>
        <v>环境质量</v>
      </c>
      <c r="AA23" s="1809">
        <f t="shared" si="3"/>
        <v>1</v>
      </c>
      <c r="AB23" s="1809">
        <f t="shared" si="4"/>
        <v>1</v>
      </c>
      <c r="AC23" s="2668">
        <f t="shared" si="5"/>
        <v>1</v>
      </c>
    </row>
    <row r="24" spans="1:29" ht="15">
      <c r="A24" s="428"/>
      <c r="B24" s="633"/>
      <c r="C24" s="2607"/>
      <c r="D24" s="448"/>
      <c r="E24" s="2600"/>
      <c r="F24" s="448"/>
      <c r="G24" s="2601"/>
      <c r="H24" s="448"/>
      <c r="I24" s="2601"/>
      <c r="J24" s="448"/>
      <c r="K24" s="615"/>
      <c r="L24" s="1140"/>
      <c r="M24" s="1131"/>
      <c r="N24" s="1131"/>
      <c r="O24" s="1131"/>
      <c r="P24" s="3238"/>
      <c r="Q24" s="1808"/>
      <c r="R24" s="774"/>
      <c r="S24" s="775"/>
      <c r="T24" s="774"/>
      <c r="U24" s="775"/>
      <c r="V24" s="774"/>
      <c r="W24" s="775"/>
      <c r="X24" s="1811"/>
      <c r="Y24" s="3166"/>
      <c r="Z24" s="1812"/>
      <c r="AA24" s="1809">
        <v>1</v>
      </c>
      <c r="AB24" s="1809">
        <v>1</v>
      </c>
      <c r="AC24" s="2668">
        <v>1</v>
      </c>
    </row>
    <row r="25" spans="1:29" ht="28.8">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38"/>
      <c r="Q25" s="1808" t="str">
        <f>B25</f>
        <v>毗邻道路的类型与等级</v>
      </c>
      <c r="R25" s="774" t="s">
        <v>17</v>
      </c>
      <c r="S25" s="775">
        <f>F25</f>
        <v>100</v>
      </c>
      <c r="T25" s="774" t="s">
        <v>17</v>
      </c>
      <c r="U25" s="775">
        <f>H25</f>
        <v>100</v>
      </c>
      <c r="V25" s="774" t="s">
        <v>17</v>
      </c>
      <c r="W25" s="775">
        <f>J25</f>
        <v>100</v>
      </c>
      <c r="X25" s="1811"/>
      <c r="Y25" s="3166"/>
      <c r="Z25" s="1812" t="str">
        <f>Q25</f>
        <v>毗邻道路的类型与等级</v>
      </c>
      <c r="AA25" s="1809">
        <f t="shared" si="3"/>
        <v>1</v>
      </c>
      <c r="AB25" s="1809">
        <f t="shared" si="4"/>
        <v>1</v>
      </c>
      <c r="AC25" s="2668">
        <f t="shared" si="5"/>
        <v>1</v>
      </c>
    </row>
    <row r="26" spans="1:29" ht="15">
      <c r="A26" s="404"/>
      <c r="B26" s="632"/>
      <c r="C26" s="634"/>
      <c r="D26" s="435"/>
      <c r="E26" s="616"/>
      <c r="F26" s="435"/>
      <c r="G26" s="634"/>
      <c r="H26" s="435"/>
      <c r="I26" s="616"/>
      <c r="J26" s="435"/>
      <c r="K26" s="615"/>
      <c r="L26" s="1140"/>
      <c r="M26" s="1131"/>
      <c r="N26" s="1131"/>
      <c r="O26" s="1131"/>
      <c r="P26" s="3238"/>
      <c r="Q26" s="1808"/>
      <c r="R26" s="774"/>
      <c r="S26" s="775"/>
      <c r="T26" s="774"/>
      <c r="U26" s="775"/>
      <c r="V26" s="774"/>
      <c r="W26" s="775"/>
      <c r="X26" s="1811"/>
      <c r="Y26" s="3166"/>
      <c r="Z26" s="1812"/>
      <c r="AA26" s="1809">
        <v>1</v>
      </c>
      <c r="AB26" s="1809">
        <v>1</v>
      </c>
      <c r="AC26" s="266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8"/>
      <c r="Q27" s="1808" t="str">
        <f t="shared" ref="Q27:Q47" si="11">B27</f>
        <v>楼层</v>
      </c>
      <c r="R27" s="774" t="s">
        <v>17</v>
      </c>
      <c r="S27" s="775">
        <f>F27</f>
        <v>100</v>
      </c>
      <c r="T27" s="774" t="s">
        <v>17</v>
      </c>
      <c r="U27" s="775">
        <f>H27</f>
        <v>100</v>
      </c>
      <c r="V27" s="774" t="s">
        <v>17</v>
      </c>
      <c r="W27" s="775">
        <f>J27</f>
        <v>100</v>
      </c>
      <c r="X27" s="1811"/>
      <c r="Y27" s="3166"/>
      <c r="Z27" s="1812" t="str">
        <f>Q27</f>
        <v>楼层</v>
      </c>
      <c r="AA27" s="1809">
        <f t="shared" si="3"/>
        <v>1</v>
      </c>
      <c r="AB27" s="1809">
        <f t="shared" si="4"/>
        <v>1</v>
      </c>
      <c r="AC27" s="2668">
        <f t="shared" si="5"/>
        <v>1</v>
      </c>
    </row>
    <row r="28" spans="1:29" s="117" customFormat="1" ht="15">
      <c r="A28" s="431"/>
      <c r="B28" s="631" t="s">
        <v>2693</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38"/>
      <c r="Q28" s="1793" t="str">
        <f t="shared" si="11"/>
        <v>朝向</v>
      </c>
      <c r="R28" s="770" t="s">
        <v>17</v>
      </c>
      <c r="S28" s="771">
        <f>F28</f>
        <v>100</v>
      </c>
      <c r="T28" s="770" t="s">
        <v>17</v>
      </c>
      <c r="U28" s="771">
        <f>H28</f>
        <v>100</v>
      </c>
      <c r="V28" s="770" t="s">
        <v>17</v>
      </c>
      <c r="W28" s="771">
        <f>J28</f>
        <v>100</v>
      </c>
      <c r="X28" s="772"/>
      <c r="Y28" s="3166"/>
      <c r="Z28" s="55" t="str">
        <f>Q28</f>
        <v>朝向</v>
      </c>
      <c r="AA28" s="1809">
        <f>D28/F28</f>
        <v>1</v>
      </c>
      <c r="AB28" s="1809">
        <f>D28/H28</f>
        <v>1</v>
      </c>
      <c r="AC28" s="2668">
        <f>D28/J28</f>
        <v>1</v>
      </c>
    </row>
    <row r="29" spans="1:29" ht="15">
      <c r="A29" s="428"/>
      <c r="B29" s="2672">
        <v>111</v>
      </c>
      <c r="C29" s="2611"/>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38"/>
      <c r="Q29" s="1808">
        <f t="shared" si="11"/>
        <v>111</v>
      </c>
      <c r="R29" s="774" t="s">
        <v>17</v>
      </c>
      <c r="S29" s="775">
        <f t="shared" ref="S29:S47" si="12">F29</f>
        <v>100</v>
      </c>
      <c r="T29" s="774" t="s">
        <v>17</v>
      </c>
      <c r="U29" s="775">
        <f t="shared" ref="U29:U47" si="13">H29</f>
        <v>100</v>
      </c>
      <c r="V29" s="774" t="s">
        <v>17</v>
      </c>
      <c r="W29" s="775">
        <f t="shared" ref="W29:W47" si="14">J29</f>
        <v>100</v>
      </c>
      <c r="X29" s="1811"/>
      <c r="Y29" s="3166"/>
      <c r="Z29" s="1812">
        <f t="shared" ref="Z29:Z47" si="15">Q29</f>
        <v>111</v>
      </c>
      <c r="AA29" s="1809">
        <f t="shared" si="3"/>
        <v>1</v>
      </c>
      <c r="AB29" s="1809">
        <f t="shared" si="4"/>
        <v>1</v>
      </c>
      <c r="AC29" s="2668">
        <f t="shared" si="5"/>
        <v>1</v>
      </c>
    </row>
    <row r="30" spans="1:29" ht="15">
      <c r="A30" s="428"/>
      <c r="B30" s="2672">
        <v>111</v>
      </c>
      <c r="C30" s="2611"/>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38"/>
      <c r="Q30" s="1808">
        <f t="shared" si="11"/>
        <v>111</v>
      </c>
      <c r="R30" s="774" t="s">
        <v>17</v>
      </c>
      <c r="S30" s="775">
        <f t="shared" si="12"/>
        <v>100</v>
      </c>
      <c r="T30" s="774" t="s">
        <v>17</v>
      </c>
      <c r="U30" s="775">
        <f t="shared" si="13"/>
        <v>100</v>
      </c>
      <c r="V30" s="774" t="s">
        <v>17</v>
      </c>
      <c r="W30" s="775">
        <f t="shared" si="14"/>
        <v>100</v>
      </c>
      <c r="X30" s="1811"/>
      <c r="Y30" s="3166"/>
      <c r="Z30" s="1812">
        <f t="shared" si="15"/>
        <v>111</v>
      </c>
      <c r="AA30" s="1809">
        <f t="shared" si="3"/>
        <v>1</v>
      </c>
      <c r="AB30" s="1809">
        <f t="shared" si="4"/>
        <v>1</v>
      </c>
      <c r="AC30" s="2668">
        <f t="shared" si="5"/>
        <v>1</v>
      </c>
    </row>
    <row r="31" spans="1:29" ht="15">
      <c r="A31" s="428"/>
      <c r="B31" s="2672">
        <v>111</v>
      </c>
      <c r="C31" s="2611"/>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38"/>
      <c r="Q31" s="1808">
        <f t="shared" si="11"/>
        <v>111</v>
      </c>
      <c r="R31" s="774" t="s">
        <v>17</v>
      </c>
      <c r="S31" s="775">
        <f t="shared" si="12"/>
        <v>100</v>
      </c>
      <c r="T31" s="774" t="s">
        <v>17</v>
      </c>
      <c r="U31" s="775">
        <f t="shared" si="13"/>
        <v>100</v>
      </c>
      <c r="V31" s="774" t="s">
        <v>17</v>
      </c>
      <c r="W31" s="775">
        <f t="shared" si="14"/>
        <v>100</v>
      </c>
      <c r="X31" s="1811"/>
      <c r="Y31" s="3166"/>
      <c r="Z31" s="1812">
        <f t="shared" si="15"/>
        <v>111</v>
      </c>
      <c r="AA31" s="1809">
        <f t="shared" si="3"/>
        <v>1</v>
      </c>
      <c r="AB31" s="1809">
        <f t="shared" si="4"/>
        <v>1</v>
      </c>
      <c r="AC31" s="2668">
        <f t="shared" si="5"/>
        <v>1</v>
      </c>
    </row>
    <row r="32" spans="1:29" ht="15.6" thickBot="1">
      <c r="A32" s="436"/>
      <c r="B32" s="635">
        <v>111</v>
      </c>
      <c r="C32" s="2612"/>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38"/>
      <c r="Q32" s="1808">
        <f t="shared" si="11"/>
        <v>111</v>
      </c>
      <c r="R32" s="774" t="s">
        <v>17</v>
      </c>
      <c r="S32" s="775">
        <f t="shared" si="12"/>
        <v>100</v>
      </c>
      <c r="T32" s="774" t="s">
        <v>17</v>
      </c>
      <c r="U32" s="775">
        <f t="shared" si="13"/>
        <v>100</v>
      </c>
      <c r="V32" s="774" t="s">
        <v>17</v>
      </c>
      <c r="W32" s="775">
        <f t="shared" si="14"/>
        <v>100</v>
      </c>
      <c r="X32" s="1811"/>
      <c r="Y32" s="3166"/>
      <c r="Z32" s="1812">
        <f t="shared" si="15"/>
        <v>111</v>
      </c>
      <c r="AA32" s="1809">
        <f t="shared" si="3"/>
        <v>1</v>
      </c>
      <c r="AB32" s="1809">
        <f t="shared" si="4"/>
        <v>1</v>
      </c>
      <c r="AC32" s="2668">
        <f t="shared" si="5"/>
        <v>1</v>
      </c>
    </row>
    <row r="33" spans="1:29" ht="15">
      <c r="A33" s="440" t="s">
        <v>2564</v>
      </c>
      <c r="B33" s="71" t="s">
        <v>2694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33" t="s">
        <v>2566</v>
      </c>
      <c r="Q33" s="1808" t="str">
        <f t="shared" si="11"/>
        <v>建筑类型</v>
      </c>
      <c r="R33" s="774" t="s">
        <v>17</v>
      </c>
      <c r="S33" s="775">
        <f t="shared" si="12"/>
        <v>100</v>
      </c>
      <c r="T33" s="774" t="s">
        <v>17</v>
      </c>
      <c r="U33" s="775">
        <f t="shared" si="13"/>
        <v>100</v>
      </c>
      <c r="V33" s="774" t="s">
        <v>17</v>
      </c>
      <c r="W33" s="775">
        <f t="shared" si="14"/>
        <v>100</v>
      </c>
      <c r="X33" s="1811"/>
      <c r="Y33" s="3168" t="s">
        <v>2566</v>
      </c>
      <c r="Z33" s="1812" t="str">
        <f t="shared" si="15"/>
        <v>建筑类型</v>
      </c>
      <c r="AA33" s="1809">
        <f t="shared" si="3"/>
        <v>1</v>
      </c>
      <c r="AB33" s="1809">
        <f t="shared" si="4"/>
        <v>1</v>
      </c>
      <c r="AC33" s="266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4"/>
      <c r="Q34" s="776" t="str">
        <f t="shared" si="11"/>
        <v>项目建筑规模</v>
      </c>
      <c r="R34" s="777" t="s">
        <v>17</v>
      </c>
      <c r="S34" s="778" t="e">
        <f t="shared" si="12"/>
        <v>#N/A</v>
      </c>
      <c r="T34" s="777" t="s">
        <v>17</v>
      </c>
      <c r="U34" s="778" t="e">
        <f t="shared" si="13"/>
        <v>#N/A</v>
      </c>
      <c r="V34" s="777" t="s">
        <v>17</v>
      </c>
      <c r="W34" s="778" t="e">
        <f t="shared" si="14"/>
        <v>#N/A</v>
      </c>
      <c r="X34" s="779"/>
      <c r="Y34" s="3168"/>
      <c r="Z34" s="780" t="str">
        <f t="shared" si="15"/>
        <v>项目建筑规模</v>
      </c>
      <c r="AA34" s="1809" t="e">
        <f t="shared" si="3"/>
        <v>#N/A</v>
      </c>
      <c r="AB34" s="1809" t="e">
        <f t="shared" si="4"/>
        <v>#N/A</v>
      </c>
      <c r="AC34" s="266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4"/>
      <c r="Q35" s="1808" t="str">
        <f t="shared" si="11"/>
        <v>建筑结构</v>
      </c>
      <c r="R35" s="774" t="s">
        <v>17</v>
      </c>
      <c r="S35" s="775">
        <f t="shared" si="12"/>
        <v>100</v>
      </c>
      <c r="T35" s="774" t="s">
        <v>17</v>
      </c>
      <c r="U35" s="775">
        <f t="shared" si="13"/>
        <v>100</v>
      </c>
      <c r="V35" s="774" t="s">
        <v>17</v>
      </c>
      <c r="W35" s="775">
        <f t="shared" si="14"/>
        <v>100</v>
      </c>
      <c r="X35" s="1811"/>
      <c r="Y35" s="3168"/>
      <c r="Z35" s="1812" t="str">
        <f t="shared" si="15"/>
        <v>建筑结构</v>
      </c>
      <c r="AA35" s="1809">
        <f t="shared" si="3"/>
        <v>1</v>
      </c>
      <c r="AB35" s="1809">
        <f t="shared" si="4"/>
        <v>1</v>
      </c>
      <c r="AC35" s="266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4"/>
      <c r="Q36" s="1808" t="str">
        <f t="shared" si="11"/>
        <v>公共部分装修</v>
      </c>
      <c r="R36" s="774" t="s">
        <v>17</v>
      </c>
      <c r="S36" s="775">
        <f t="shared" si="12"/>
        <v>100</v>
      </c>
      <c r="T36" s="774" t="s">
        <v>17</v>
      </c>
      <c r="U36" s="775">
        <f t="shared" si="13"/>
        <v>100</v>
      </c>
      <c r="V36" s="774" t="s">
        <v>17</v>
      </c>
      <c r="W36" s="775">
        <f t="shared" si="14"/>
        <v>100</v>
      </c>
      <c r="X36" s="1811"/>
      <c r="Y36" s="3168"/>
      <c r="Z36" s="1812" t="str">
        <f t="shared" si="15"/>
        <v>公共部分装修</v>
      </c>
      <c r="AA36" s="1809">
        <f t="shared" si="3"/>
        <v>1</v>
      </c>
      <c r="AB36" s="1809">
        <f t="shared" si="4"/>
        <v>1</v>
      </c>
      <c r="AC36" s="266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4"/>
      <c r="Q37" s="1808" t="str">
        <f t="shared" si="11"/>
        <v>成新度</v>
      </c>
      <c r="R37" s="774" t="s">
        <v>17</v>
      </c>
      <c r="S37" s="775" t="e">
        <f t="shared" si="12"/>
        <v>#N/A</v>
      </c>
      <c r="T37" s="774" t="s">
        <v>17</v>
      </c>
      <c r="U37" s="775" t="e">
        <f t="shared" si="13"/>
        <v>#N/A</v>
      </c>
      <c r="V37" s="774" t="s">
        <v>17</v>
      </c>
      <c r="W37" s="775" t="e">
        <f t="shared" si="14"/>
        <v>#N/A</v>
      </c>
      <c r="X37" s="1811"/>
      <c r="Y37" s="3168"/>
      <c r="Z37" s="1812" t="str">
        <f t="shared" si="15"/>
        <v>成新度</v>
      </c>
      <c r="AA37" s="1809" t="e">
        <f t="shared" si="3"/>
        <v>#N/A</v>
      </c>
      <c r="AB37" s="1809" t="e">
        <f t="shared" si="4"/>
        <v>#N/A</v>
      </c>
      <c r="AC37" s="266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4"/>
      <c r="Q38" s="1793" t="str">
        <f t="shared" si="11"/>
        <v>写字楼等级</v>
      </c>
      <c r="R38" s="770" t="s">
        <v>17</v>
      </c>
      <c r="S38" s="771">
        <f t="shared" si="12"/>
        <v>100</v>
      </c>
      <c r="T38" s="770" t="s">
        <v>17</v>
      </c>
      <c r="U38" s="771">
        <f t="shared" si="13"/>
        <v>100</v>
      </c>
      <c r="V38" s="770" t="s">
        <v>17</v>
      </c>
      <c r="W38" s="771">
        <f t="shared" si="14"/>
        <v>100</v>
      </c>
      <c r="X38" s="772"/>
      <c r="Y38" s="3168"/>
      <c r="Z38" s="55" t="str">
        <f t="shared" si="15"/>
        <v>写字楼等级</v>
      </c>
      <c r="AA38" s="773">
        <f t="shared" si="3"/>
        <v>1</v>
      </c>
      <c r="AB38" s="773">
        <f t="shared" si="4"/>
        <v>1</v>
      </c>
      <c r="AC38" s="266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4" t="s">
        <v>2566</v>
      </c>
      <c r="Q39" s="1808" t="str">
        <f t="shared" si="11"/>
        <v>物业管理</v>
      </c>
      <c r="R39" s="774" t="s">
        <v>17</v>
      </c>
      <c r="S39" s="775">
        <f t="shared" si="12"/>
        <v>100</v>
      </c>
      <c r="T39" s="774" t="s">
        <v>17</v>
      </c>
      <c r="U39" s="775">
        <f t="shared" si="13"/>
        <v>100</v>
      </c>
      <c r="V39" s="774" t="s">
        <v>17</v>
      </c>
      <c r="W39" s="775">
        <f t="shared" si="14"/>
        <v>100</v>
      </c>
      <c r="X39" s="1811"/>
      <c r="Y39" s="3168" t="s">
        <v>2566</v>
      </c>
      <c r="Z39" s="1812" t="str">
        <f t="shared" si="15"/>
        <v>物业管理</v>
      </c>
      <c r="AA39" s="1809">
        <f t="shared" si="3"/>
        <v>1</v>
      </c>
      <c r="AB39" s="1809">
        <f t="shared" si="4"/>
        <v>1</v>
      </c>
      <c r="AC39" s="266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4"/>
      <c r="Q40" s="1808" t="str">
        <f t="shared" si="11"/>
        <v>市政基础设施</v>
      </c>
      <c r="R40" s="774" t="s">
        <v>17</v>
      </c>
      <c r="S40" s="775">
        <f t="shared" si="12"/>
        <v>100</v>
      </c>
      <c r="T40" s="774" t="s">
        <v>17</v>
      </c>
      <c r="U40" s="775">
        <f t="shared" si="13"/>
        <v>100</v>
      </c>
      <c r="V40" s="774" t="s">
        <v>17</v>
      </c>
      <c r="W40" s="775">
        <f t="shared" si="14"/>
        <v>100</v>
      </c>
      <c r="X40" s="1811"/>
      <c r="Y40" s="3168"/>
      <c r="Z40" s="1812" t="str">
        <f t="shared" si="15"/>
        <v>市政基础设施</v>
      </c>
      <c r="AA40" s="1809">
        <f t="shared" si="3"/>
        <v>1</v>
      </c>
      <c r="AB40" s="1809">
        <f t="shared" si="4"/>
        <v>1</v>
      </c>
      <c r="AC40" s="266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4"/>
      <c r="Q41" s="1808" t="str">
        <f t="shared" si="11"/>
        <v>层高</v>
      </c>
      <c r="R41" s="774" t="s">
        <v>17</v>
      </c>
      <c r="S41" s="775">
        <f t="shared" si="12"/>
        <v>100</v>
      </c>
      <c r="T41" s="774" t="s">
        <v>17</v>
      </c>
      <c r="U41" s="775">
        <f t="shared" si="13"/>
        <v>100</v>
      </c>
      <c r="V41" s="774" t="s">
        <v>17</v>
      </c>
      <c r="W41" s="775">
        <f t="shared" si="14"/>
        <v>100</v>
      </c>
      <c r="X41" s="1811"/>
      <c r="Y41" s="3168"/>
      <c r="Z41" s="1812" t="str">
        <f t="shared" si="15"/>
        <v>层高</v>
      </c>
      <c r="AA41" s="1809">
        <f t="shared" si="3"/>
        <v>1</v>
      </c>
      <c r="AB41" s="1809">
        <f t="shared" si="4"/>
        <v>1</v>
      </c>
      <c r="AC41" s="2668">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4"/>
      <c r="Q42" s="776" t="str">
        <f t="shared" si="11"/>
        <v>单套建筑面积</v>
      </c>
      <c r="R42" s="777" t="s">
        <v>17</v>
      </c>
      <c r="S42" s="778">
        <f t="shared" si="12"/>
        <v>100</v>
      </c>
      <c r="T42" s="777" t="s">
        <v>17</v>
      </c>
      <c r="U42" s="778">
        <f t="shared" si="13"/>
        <v>100</v>
      </c>
      <c r="V42" s="777" t="s">
        <v>17</v>
      </c>
      <c r="W42" s="778">
        <f t="shared" si="14"/>
        <v>100</v>
      </c>
      <c r="X42" s="779"/>
      <c r="Y42" s="3168"/>
      <c r="Z42" s="780" t="str">
        <f t="shared" si="15"/>
        <v>单套建筑面积</v>
      </c>
      <c r="AA42" s="1809">
        <f t="shared" si="3"/>
        <v>1</v>
      </c>
      <c r="AB42" s="1809">
        <f t="shared" si="4"/>
        <v>1</v>
      </c>
      <c r="AC42" s="266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4"/>
      <c r="Q43" s="1808" t="str">
        <f t="shared" si="11"/>
        <v>内部装修</v>
      </c>
      <c r="R43" s="774" t="s">
        <v>17</v>
      </c>
      <c r="S43" s="775">
        <f t="shared" si="12"/>
        <v>100</v>
      </c>
      <c r="T43" s="774" t="s">
        <v>17</v>
      </c>
      <c r="U43" s="775">
        <f t="shared" si="13"/>
        <v>100</v>
      </c>
      <c r="V43" s="774" t="s">
        <v>17</v>
      </c>
      <c r="W43" s="775">
        <f t="shared" si="14"/>
        <v>100</v>
      </c>
      <c r="X43" s="1811"/>
      <c r="Y43" s="3168"/>
      <c r="Z43" s="1812" t="str">
        <f t="shared" si="15"/>
        <v>内部装修</v>
      </c>
      <c r="AA43" s="1809">
        <f t="shared" si="3"/>
        <v>1</v>
      </c>
      <c r="AB43" s="1809">
        <f t="shared" si="4"/>
        <v>1</v>
      </c>
      <c r="AC43" s="2668">
        <f t="shared" si="5"/>
        <v>1</v>
      </c>
    </row>
    <row r="44" spans="1:29" ht="28.8">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34"/>
      <c r="Q44" s="1808" t="str">
        <f t="shared" si="11"/>
        <v>内部装修维护情况</v>
      </c>
      <c r="R44" s="774" t="s">
        <v>17</v>
      </c>
      <c r="S44" s="775">
        <f t="shared" si="12"/>
        <v>100</v>
      </c>
      <c r="T44" s="774" t="s">
        <v>17</v>
      </c>
      <c r="U44" s="775">
        <f t="shared" si="13"/>
        <v>100</v>
      </c>
      <c r="V44" s="774" t="s">
        <v>17</v>
      </c>
      <c r="W44" s="775">
        <f t="shared" si="14"/>
        <v>100</v>
      </c>
      <c r="X44" s="1811"/>
      <c r="Y44" s="3168"/>
      <c r="Z44" s="1812" t="str">
        <f t="shared" si="15"/>
        <v>内部装修维护情况</v>
      </c>
      <c r="AA44" s="1809">
        <f t="shared" si="3"/>
        <v>1</v>
      </c>
      <c r="AB44" s="1809">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4"/>
      <c r="Q45" s="1793">
        <f t="shared" si="11"/>
        <v>111</v>
      </c>
      <c r="R45" s="770" t="s">
        <v>17</v>
      </c>
      <c r="S45" s="771">
        <f t="shared" si="12"/>
        <v>100</v>
      </c>
      <c r="T45" s="770" t="s">
        <v>17</v>
      </c>
      <c r="U45" s="771">
        <f t="shared" si="13"/>
        <v>100</v>
      </c>
      <c r="V45" s="770" t="s">
        <v>17</v>
      </c>
      <c r="W45" s="771">
        <f t="shared" si="14"/>
        <v>100</v>
      </c>
      <c r="X45" s="772"/>
      <c r="Y45" s="3168"/>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4"/>
      <c r="Q46" s="1808">
        <f t="shared" si="11"/>
        <v>111</v>
      </c>
      <c r="R46" s="774" t="s">
        <v>17</v>
      </c>
      <c r="S46" s="775">
        <f t="shared" si="12"/>
        <v>100</v>
      </c>
      <c r="T46" s="774" t="s">
        <v>17</v>
      </c>
      <c r="U46" s="775">
        <f t="shared" si="13"/>
        <v>100</v>
      </c>
      <c r="V46" s="774" t="s">
        <v>17</v>
      </c>
      <c r="W46" s="775">
        <f t="shared" si="14"/>
        <v>100</v>
      </c>
      <c r="X46" s="1811"/>
      <c r="Y46" s="3168"/>
      <c r="Z46" s="1812">
        <f t="shared" si="15"/>
        <v>111</v>
      </c>
      <c r="AA46" s="1809">
        <f t="shared" si="3"/>
        <v>1</v>
      </c>
      <c r="AB46" s="1809">
        <f t="shared" si="4"/>
        <v>1</v>
      </c>
      <c r="AC46" s="2668">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5"/>
      <c r="Q47" s="1808">
        <f t="shared" si="11"/>
        <v>111</v>
      </c>
      <c r="R47" s="774" t="s">
        <v>17</v>
      </c>
      <c r="S47" s="775">
        <f t="shared" si="12"/>
        <v>100</v>
      </c>
      <c r="T47" s="774" t="s">
        <v>17</v>
      </c>
      <c r="U47" s="775">
        <f t="shared" si="13"/>
        <v>100</v>
      </c>
      <c r="V47" s="774" t="s">
        <v>17</v>
      </c>
      <c r="W47" s="775">
        <f t="shared" si="14"/>
        <v>100</v>
      </c>
      <c r="X47" s="1811"/>
      <c r="Y47" s="3236"/>
      <c r="Z47" s="1812">
        <f t="shared" si="15"/>
        <v>111</v>
      </c>
      <c r="AA47" s="1809">
        <f t="shared" si="3"/>
        <v>1</v>
      </c>
      <c r="AB47" s="1809">
        <f t="shared" si="4"/>
        <v>1</v>
      </c>
      <c r="AC47" s="2668">
        <f t="shared" si="5"/>
        <v>1</v>
      </c>
    </row>
    <row r="48" spans="1:29" ht="14.4">
      <c r="A48" s="479" t="s">
        <v>2578</v>
      </c>
      <c r="B48" s="480"/>
      <c r="C48" s="1406" t="s">
        <v>1</v>
      </c>
      <c r="D48" s="1407"/>
      <c r="E48" s="1408"/>
      <c r="F48" s="1409"/>
      <c r="G48" s="1410"/>
      <c r="H48" s="1411"/>
      <c r="I48" s="1408"/>
      <c r="J48" s="485"/>
      <c r="K48" s="783"/>
      <c r="L48" s="1143"/>
      <c r="M48" s="1131"/>
      <c r="N48" s="1131"/>
      <c r="O48" s="1131"/>
      <c r="P48" s="3162" t="str">
        <f>A48</f>
        <v>成交单价（元/平方米）</v>
      </c>
      <c r="Q48" s="3163"/>
      <c r="R48" s="3232">
        <f>E48</f>
        <v>0</v>
      </c>
      <c r="S48" s="3232"/>
      <c r="T48" s="3232">
        <f>G48</f>
        <v>0</v>
      </c>
      <c r="U48" s="3232"/>
      <c r="V48" s="3232">
        <f>I48</f>
        <v>0</v>
      </c>
      <c r="W48" s="3232"/>
      <c r="X48" s="446"/>
      <c r="Y48" s="781"/>
      <c r="Z48" s="446"/>
      <c r="AA48" s="446"/>
      <c r="AB48" s="446"/>
      <c r="AC48" s="630"/>
    </row>
    <row r="49" spans="1:29" ht="1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162" t="str">
        <f>A49</f>
        <v>比较价值（元/平方米）</v>
      </c>
      <c r="Q49" s="3163"/>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 thickBot="1">
      <c r="A50" s="492" t="s">
        <v>2671</v>
      </c>
      <c r="B50" s="493"/>
      <c r="C50" s="1416" t="e">
        <f>R50</f>
        <v>#DIV/0!</v>
      </c>
      <c r="D50" s="1416"/>
      <c r="E50" s="1416"/>
      <c r="F50" s="1416"/>
      <c r="G50" s="1416"/>
      <c r="H50" s="1416"/>
      <c r="I50" s="1416"/>
      <c r="J50" s="494"/>
      <c r="K50" s="785"/>
      <c r="L50" s="1143"/>
      <c r="M50" s="1131"/>
      <c r="N50" s="1131"/>
      <c r="O50" s="1131"/>
      <c r="P50" s="3242" t="str">
        <f>A50</f>
        <v>估价对象XX用房的比较价值（楼面单价，元/平方米）</v>
      </c>
      <c r="Q50" s="3243"/>
      <c r="R50" s="3244" t="e">
        <f>IF(F1="售价",ROUND(AVERAGE(R49:V49),0),ROUND(AVERAGE(R49:V49),1))</f>
        <v>#DIV/0!</v>
      </c>
      <c r="S50" s="3244"/>
      <c r="T50" s="3244"/>
      <c r="U50" s="3244"/>
      <c r="V50" s="3244"/>
      <c r="W50" s="3244"/>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2.2" thickBot="1">
      <c r="A58" s="763" t="s">
        <v>2675</v>
      </c>
      <c r="B58" s="759"/>
      <c r="C58" s="764"/>
      <c r="D58" s="764"/>
      <c r="E58" s="764"/>
      <c r="F58" s="765"/>
      <c r="G58" s="765"/>
      <c r="H58" s="764"/>
      <c r="I58" s="764"/>
      <c r="J58" s="764"/>
      <c r="K58" s="766"/>
      <c r="L58" s="1161"/>
      <c r="M58" s="1159"/>
      <c r="N58" s="1159"/>
      <c r="O58" s="1159"/>
      <c r="P58" s="2675"/>
      <c r="Q58" s="504"/>
    </row>
    <row r="59" spans="1:29" s="508" customFormat="1" ht="14.4">
      <c r="A59" s="505" t="s">
        <v>2549</v>
      </c>
      <c r="B59" s="506"/>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7" customFormat="1">
      <c r="A60" s="509"/>
      <c r="B60" s="510"/>
      <c r="C60" s="1571">
        <v>100</v>
      </c>
      <c r="D60" s="512"/>
      <c r="E60" s="512"/>
      <c r="F60" s="512"/>
      <c r="G60" s="512"/>
      <c r="H60" s="512"/>
      <c r="I60" s="512"/>
      <c r="J60" s="512"/>
      <c r="K60" s="512"/>
      <c r="L60" s="512"/>
      <c r="M60" s="513"/>
      <c r="N60" s="512"/>
      <c r="O60" s="513"/>
      <c r="P60" s="2676"/>
    </row>
    <row r="61" spans="1:29" s="117" customFormat="1" ht="15" thickBot="1">
      <c r="A61" s="515" t="s">
        <v>2586</v>
      </c>
      <c r="B61" s="516"/>
      <c r="C61" s="517"/>
      <c r="D61" s="518"/>
      <c r="E61" s="518"/>
      <c r="F61" s="518"/>
      <c r="G61" s="518"/>
      <c r="H61" s="518"/>
      <c r="I61" s="518"/>
      <c r="J61" s="518"/>
      <c r="K61" s="518"/>
      <c r="L61" s="518"/>
      <c r="M61" s="519"/>
      <c r="N61" s="518"/>
      <c r="O61" s="519"/>
      <c r="P61" s="2676"/>
      <c r="Q61" s="504"/>
    </row>
    <row r="62" spans="1:29" s="117" customFormat="1" ht="14.4">
      <c r="A62" s="521" t="s">
        <v>2551</v>
      </c>
      <c r="B62" s="510"/>
      <c r="C62" s="522" t="s">
        <v>2653</v>
      </c>
      <c r="D62" s="523"/>
      <c r="E62" s="523"/>
      <c r="F62" s="523"/>
      <c r="G62" s="523"/>
      <c r="H62" s="523"/>
      <c r="I62" s="523"/>
      <c r="J62" s="523"/>
      <c r="K62" s="523"/>
      <c r="L62" s="524"/>
      <c r="M62" s="525"/>
      <c r="N62" s="1151"/>
      <c r="O62" s="1151"/>
      <c r="P62" s="2677"/>
      <c r="Q62" s="504"/>
    </row>
    <row r="63" spans="1:29" s="117" customFormat="1" ht="14.4" thickBot="1">
      <c r="A63" s="521"/>
      <c r="B63" s="510"/>
      <c r="C63" s="511">
        <v>100</v>
      </c>
      <c r="D63" s="512"/>
      <c r="E63" s="512"/>
      <c r="F63" s="512"/>
      <c r="G63" s="512"/>
      <c r="H63" s="512"/>
      <c r="I63" s="512"/>
      <c r="J63" s="512"/>
      <c r="K63" s="512"/>
      <c r="L63" s="512"/>
      <c r="M63" s="514"/>
      <c r="N63" s="1151"/>
      <c r="O63" s="1151"/>
      <c r="P63" s="2676"/>
      <c r="Q63" s="504"/>
    </row>
    <row r="64" spans="1:29" ht="14.4">
      <c r="A64" s="527" t="s">
        <v>2589</v>
      </c>
      <c r="B64" s="528" t="s">
        <v>2555</v>
      </c>
      <c r="C64" s="529">
        <f>C9</f>
        <v>0</v>
      </c>
      <c r="D64" s="530"/>
      <c r="E64" s="530"/>
      <c r="F64" s="530"/>
      <c r="G64" s="530"/>
      <c r="H64" s="530"/>
      <c r="I64" s="530"/>
      <c r="J64" s="530"/>
      <c r="K64" s="531"/>
      <c r="L64" s="532"/>
      <c r="M64" s="533"/>
      <c r="N64" s="1152"/>
      <c r="O64" s="1152"/>
      <c r="P64" s="2678"/>
      <c r="Q64" s="504"/>
    </row>
    <row r="65" spans="1:17" ht="14.4" thickBot="1">
      <c r="A65" s="534"/>
      <c r="B65" s="535"/>
      <c r="C65" s="536">
        <v>100</v>
      </c>
      <c r="D65" s="536"/>
      <c r="E65" s="536"/>
      <c r="F65" s="536"/>
      <c r="G65" s="536"/>
      <c r="H65" s="536"/>
      <c r="I65" s="536"/>
      <c r="J65" s="536"/>
      <c r="K65" s="536"/>
      <c r="L65" s="536"/>
      <c r="M65" s="537"/>
      <c r="N65" s="1153"/>
      <c r="O65" s="1153"/>
      <c r="P65" s="2678"/>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7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c r="A69" s="534"/>
      <c r="B69" s="548"/>
      <c r="C69" s="549"/>
      <c r="D69" s="549"/>
      <c r="E69" s="549"/>
      <c r="F69" s="549"/>
      <c r="G69" s="549"/>
      <c r="H69" s="549"/>
      <c r="I69" s="549"/>
      <c r="J69" s="549"/>
      <c r="K69" s="550"/>
      <c r="L69" s="551"/>
      <c r="M69" s="552"/>
      <c r="N69" s="1152"/>
      <c r="O69" s="1152"/>
      <c r="P69" s="267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4.4" thickTop="1">
      <c r="A71" s="553"/>
      <c r="B71" s="538">
        <f>B12</f>
        <v>111</v>
      </c>
      <c r="C71" s="554"/>
      <c r="D71" s="554"/>
      <c r="E71" s="554"/>
      <c r="F71" s="554"/>
      <c r="G71" s="554"/>
      <c r="H71" s="555"/>
      <c r="I71" s="555"/>
      <c r="J71" s="555"/>
      <c r="K71" s="555"/>
      <c r="L71" s="556"/>
      <c r="M71" s="557"/>
      <c r="N71" s="1154"/>
      <c r="O71" s="1154"/>
      <c r="P71" s="2679"/>
      <c r="Q71" s="559"/>
    </row>
    <row r="72" spans="1:17" s="471" customFormat="1" ht="14.4" thickBot="1">
      <c r="A72" s="553"/>
      <c r="B72" s="543"/>
      <c r="C72" s="560"/>
      <c r="D72" s="536"/>
      <c r="E72" s="536"/>
      <c r="F72" s="536"/>
      <c r="G72" s="536"/>
      <c r="H72" s="536"/>
      <c r="I72" s="536"/>
      <c r="J72" s="536"/>
      <c r="K72" s="536"/>
      <c r="L72" s="536"/>
      <c r="M72" s="537"/>
      <c r="N72" s="1153"/>
      <c r="O72" s="1153"/>
      <c r="P72" s="2679"/>
      <c r="Q72" s="559"/>
    </row>
    <row r="73" spans="1:17" s="471" customFormat="1" ht="14.4" thickTop="1">
      <c r="A73" s="553"/>
      <c r="B73" s="538">
        <f>B13</f>
        <v>111</v>
      </c>
      <c r="C73" s="554"/>
      <c r="D73" s="554"/>
      <c r="E73" s="554"/>
      <c r="F73" s="554"/>
      <c r="G73" s="554"/>
      <c r="H73" s="555"/>
      <c r="I73" s="555"/>
      <c r="J73" s="555"/>
      <c r="K73" s="555"/>
      <c r="L73" s="556"/>
      <c r="M73" s="557"/>
      <c r="N73" s="1154"/>
      <c r="O73" s="1154"/>
      <c r="P73" s="2680"/>
      <c r="Q73" s="561"/>
    </row>
    <row r="74" spans="1:17" s="471" customFormat="1" ht="14.4" thickBot="1">
      <c r="A74" s="553"/>
      <c r="B74" s="543"/>
      <c r="C74" s="560"/>
      <c r="D74" s="560"/>
      <c r="E74" s="560"/>
      <c r="F74" s="560"/>
      <c r="G74" s="560"/>
      <c r="H74" s="562"/>
      <c r="I74" s="562"/>
      <c r="J74" s="562"/>
      <c r="K74" s="562"/>
      <c r="L74" s="562"/>
      <c r="M74" s="563"/>
      <c r="N74" s="1154"/>
      <c r="O74" s="1154"/>
      <c r="P74" s="2679"/>
      <c r="Q74" s="559"/>
    </row>
    <row r="75" spans="1:17" s="471" customFormat="1" ht="14.4" thickTop="1">
      <c r="A75" s="553"/>
      <c r="B75" s="546">
        <f>B14</f>
        <v>111</v>
      </c>
      <c r="C75" s="523"/>
      <c r="D75" s="523"/>
      <c r="E75" s="523"/>
      <c r="F75" s="523"/>
      <c r="G75" s="523"/>
      <c r="H75" s="564"/>
      <c r="I75" s="564"/>
      <c r="J75" s="564"/>
      <c r="K75" s="564"/>
      <c r="L75" s="565"/>
      <c r="M75" s="566"/>
      <c r="N75" s="1154"/>
      <c r="O75" s="1154"/>
      <c r="P75" s="2681"/>
      <c r="Q75" s="559"/>
    </row>
    <row r="76" spans="1:17" s="471" customFormat="1" ht="14.4" thickBot="1">
      <c r="A76" s="568"/>
      <c r="B76" s="569"/>
      <c r="C76" s="570"/>
      <c r="D76" s="570"/>
      <c r="E76" s="570"/>
      <c r="F76" s="570"/>
      <c r="G76" s="570"/>
      <c r="H76" s="571"/>
      <c r="I76" s="571"/>
      <c r="J76" s="571"/>
      <c r="K76" s="571"/>
      <c r="L76" s="571"/>
      <c r="M76" s="572"/>
      <c r="N76" s="1154"/>
      <c r="O76" s="1154"/>
      <c r="P76" s="2679"/>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2"/>
      <c r="O77" s="1152"/>
      <c r="P77" s="268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2"/>
      <c r="O79" s="1152"/>
      <c r="P79" s="267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2"/>
      <c r="O81" s="1152"/>
      <c r="P81" s="267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 thickTop="1">
      <c r="A83" s="534"/>
      <c r="B83" s="546" t="s">
        <v>2690</v>
      </c>
      <c r="C83" s="660" t="s">
        <v>2676</v>
      </c>
      <c r="D83" s="660" t="s">
        <v>2677</v>
      </c>
      <c r="E83" s="660" t="s">
        <v>2678</v>
      </c>
      <c r="F83" s="660" t="s">
        <v>2679</v>
      </c>
      <c r="G83" s="660" t="s">
        <v>2680</v>
      </c>
      <c r="H83" s="539"/>
      <c r="I83" s="539"/>
      <c r="J83" s="539"/>
      <c r="K83" s="539"/>
      <c r="L83" s="539"/>
      <c r="M83" s="1382"/>
      <c r="N83" s="1153"/>
      <c r="O83" s="1153"/>
      <c r="P83" s="267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2"/>
      <c r="O85" s="1152"/>
      <c r="P85" s="267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9.4" thickTop="1">
      <c r="A87" s="579"/>
      <c r="B87" s="538" t="s">
        <v>2700</v>
      </c>
      <c r="C87" s="554"/>
      <c r="D87" s="554"/>
      <c r="E87" s="554"/>
      <c r="F87" s="554"/>
      <c r="G87" s="554"/>
      <c r="H87" s="554"/>
      <c r="I87" s="554"/>
      <c r="J87" s="554"/>
      <c r="K87" s="554"/>
      <c r="L87" s="580"/>
      <c r="M87" s="581"/>
      <c r="N87" s="1151"/>
      <c r="O87" s="1151"/>
      <c r="P87" s="267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4.4"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4.4" thickTop="1">
      <c r="A93" s="534"/>
      <c r="B93" s="538">
        <f>B29</f>
        <v>111</v>
      </c>
      <c r="C93" s="554"/>
      <c r="D93" s="554"/>
      <c r="E93" s="554"/>
      <c r="F93" s="554"/>
      <c r="G93" s="554"/>
      <c r="H93" s="554"/>
      <c r="I93" s="554"/>
      <c r="J93" s="554"/>
      <c r="K93" s="554"/>
      <c r="L93" s="580"/>
      <c r="M93" s="581"/>
      <c r="N93" s="1152"/>
      <c r="O93" s="1152"/>
      <c r="P93" s="2678"/>
      <c r="Q93" s="504"/>
    </row>
    <row r="94" spans="1:17" ht="14.4" thickBot="1">
      <c r="A94" s="534"/>
      <c r="B94" s="543"/>
      <c r="C94" s="560"/>
      <c r="D94" s="536"/>
      <c r="E94" s="536"/>
      <c r="F94" s="536"/>
      <c r="G94" s="536"/>
      <c r="H94" s="536"/>
      <c r="I94" s="536"/>
      <c r="J94" s="536"/>
      <c r="K94" s="536"/>
      <c r="L94" s="536"/>
      <c r="M94" s="537"/>
      <c r="N94" s="1153"/>
      <c r="O94" s="1153"/>
      <c r="P94" s="2678"/>
      <c r="Q94" s="504"/>
    </row>
    <row r="95" spans="1:17" ht="14.4" thickTop="1">
      <c r="A95" s="534"/>
      <c r="B95" s="538">
        <f>B30</f>
        <v>111</v>
      </c>
      <c r="C95" s="554"/>
      <c r="D95" s="554"/>
      <c r="E95" s="554"/>
      <c r="F95" s="554"/>
      <c r="G95" s="583"/>
      <c r="H95" s="583"/>
      <c r="I95" s="583"/>
      <c r="J95" s="583"/>
      <c r="K95" s="584"/>
      <c r="L95" s="585"/>
      <c r="M95" s="586"/>
      <c r="N95" s="1152"/>
      <c r="O95" s="1152"/>
      <c r="P95" s="2678"/>
      <c r="Q95" s="504"/>
    </row>
    <row r="96" spans="1:17" ht="14.4" thickBot="1">
      <c r="A96" s="534"/>
      <c r="B96" s="543"/>
      <c r="C96" s="560"/>
      <c r="D96" s="560"/>
      <c r="E96" s="560"/>
      <c r="F96" s="560"/>
      <c r="G96" s="536"/>
      <c r="H96" s="536"/>
      <c r="I96" s="536"/>
      <c r="J96" s="536"/>
      <c r="K96" s="536"/>
      <c r="L96" s="536"/>
      <c r="M96" s="537"/>
      <c r="N96" s="1153"/>
      <c r="O96" s="1153"/>
      <c r="P96" s="2678"/>
      <c r="Q96" s="504"/>
    </row>
    <row r="97" spans="1:17" ht="14.4" thickTop="1">
      <c r="A97" s="534"/>
      <c r="B97" s="538">
        <f>B31</f>
        <v>111</v>
      </c>
      <c r="C97" s="554"/>
      <c r="D97" s="554"/>
      <c r="E97" s="554"/>
      <c r="F97" s="554"/>
      <c r="G97" s="583"/>
      <c r="H97" s="583"/>
      <c r="I97" s="583"/>
      <c r="J97" s="583"/>
      <c r="K97" s="584"/>
      <c r="L97" s="585"/>
      <c r="M97" s="586"/>
      <c r="N97" s="1152"/>
      <c r="O97" s="1152"/>
      <c r="P97" s="2678"/>
      <c r="Q97" s="504"/>
    </row>
    <row r="98" spans="1:17" ht="14.4" thickBot="1">
      <c r="A98" s="534"/>
      <c r="B98" s="543"/>
      <c r="C98" s="560"/>
      <c r="D98" s="536"/>
      <c r="E98" s="536"/>
      <c r="F98" s="536"/>
      <c r="G98" s="536"/>
      <c r="H98" s="536"/>
      <c r="I98" s="536"/>
      <c r="J98" s="536"/>
      <c r="K98" s="536"/>
      <c r="L98" s="536"/>
      <c r="M98" s="537"/>
      <c r="N98" s="1153"/>
      <c r="O98" s="1153"/>
      <c r="P98" s="2678"/>
      <c r="Q98" s="504"/>
    </row>
    <row r="99" spans="1:17" ht="14.4" thickTop="1">
      <c r="A99" s="534"/>
      <c r="B99" s="546">
        <f>B32</f>
        <v>111</v>
      </c>
      <c r="C99" s="523"/>
      <c r="D99" s="523"/>
      <c r="E99" s="523"/>
      <c r="F99" s="523"/>
      <c r="G99" s="587"/>
      <c r="H99" s="587"/>
      <c r="I99" s="587"/>
      <c r="J99" s="587"/>
      <c r="K99" s="588"/>
      <c r="L99" s="589"/>
      <c r="M99" s="590"/>
      <c r="N99" s="1152"/>
      <c r="O99" s="1152"/>
      <c r="P99" s="2678"/>
      <c r="Q99" s="504"/>
    </row>
    <row r="100" spans="1:17" ht="14.4" thickBot="1">
      <c r="A100" s="2630"/>
      <c r="B100" s="569"/>
      <c r="C100" s="570"/>
      <c r="D100" s="570"/>
      <c r="E100" s="570"/>
      <c r="F100" s="570"/>
      <c r="G100" s="591"/>
      <c r="H100" s="591"/>
      <c r="I100" s="591"/>
      <c r="J100" s="591"/>
      <c r="K100" s="591"/>
      <c r="L100" s="591"/>
      <c r="M100" s="592"/>
      <c r="N100" s="1153"/>
      <c r="O100" s="1153"/>
      <c r="P100" s="2678"/>
      <c r="Q100" s="504"/>
    </row>
    <row r="101" spans="1:17" ht="14.4">
      <c r="A101" s="527" t="s">
        <v>2564</v>
      </c>
      <c r="B101" s="528" t="s">
        <v>2613</v>
      </c>
      <c r="C101" s="530"/>
      <c r="D101" s="530"/>
      <c r="E101" s="530"/>
      <c r="F101" s="530"/>
      <c r="G101" s="530"/>
      <c r="H101" s="530"/>
      <c r="I101" s="530"/>
      <c r="J101" s="530"/>
      <c r="K101" s="531"/>
      <c r="L101" s="532"/>
      <c r="M101" s="533"/>
      <c r="N101" s="1152"/>
      <c r="O101" s="1152"/>
      <c r="P101" s="267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4.4"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2615</v>
      </c>
      <c r="C106" s="554"/>
      <c r="D106" s="554"/>
      <c r="E106" s="583"/>
      <c r="F106" s="583"/>
      <c r="G106" s="583"/>
      <c r="H106" s="583"/>
      <c r="I106" s="583"/>
      <c r="J106" s="583"/>
      <c r="K106" s="584"/>
      <c r="L106" s="585"/>
      <c r="M106" s="586"/>
      <c r="N106" s="1152"/>
      <c r="O106" s="1152"/>
      <c r="P106" s="267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2617</v>
      </c>
      <c r="C108" s="554"/>
      <c r="D108" s="554"/>
      <c r="E108" s="554"/>
      <c r="F108" s="583"/>
      <c r="G108" s="583"/>
      <c r="H108" s="583"/>
      <c r="I108" s="583"/>
      <c r="J108" s="583"/>
      <c r="K108" s="584"/>
      <c r="L108" s="585"/>
      <c r="M108" s="586"/>
      <c r="N108" s="1152"/>
      <c r="O108" s="1152"/>
      <c r="P108" s="267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7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2618</v>
      </c>
      <c r="C115" s="554"/>
      <c r="D115" s="554"/>
      <c r="E115" s="583"/>
      <c r="F115" s="583"/>
      <c r="G115" s="583"/>
      <c r="H115" s="583"/>
      <c r="I115" s="583"/>
      <c r="J115" s="583"/>
      <c r="K115" s="584"/>
      <c r="L115" s="585"/>
      <c r="M115" s="586"/>
      <c r="N115" s="1152"/>
      <c r="O115" s="1152"/>
      <c r="P115" s="267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2619</v>
      </c>
      <c r="C117" s="554"/>
      <c r="D117" s="554"/>
      <c r="E117" s="554"/>
      <c r="F117" s="554"/>
      <c r="G117" s="554"/>
      <c r="H117" s="583"/>
      <c r="I117" s="583"/>
      <c r="J117" s="583"/>
      <c r="K117" s="584"/>
      <c r="L117" s="585"/>
      <c r="M117" s="586"/>
      <c r="N117" s="1152"/>
      <c r="O117" s="1152"/>
      <c r="P117" s="267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2702</v>
      </c>
      <c r="C119" s="583"/>
      <c r="D119" s="583"/>
      <c r="E119" s="583"/>
      <c r="F119" s="583"/>
      <c r="G119" s="583"/>
      <c r="H119" s="583"/>
      <c r="I119" s="583"/>
      <c r="J119" s="583"/>
      <c r="K119" s="583"/>
      <c r="L119" s="2683"/>
      <c r="M119" s="2684"/>
      <c r="N119" s="1153"/>
      <c r="O119" s="1153"/>
      <c r="P119" s="268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79"/>
      <c r="Q121" s="559"/>
    </row>
    <row r="122" spans="1:17" s="471" customFormat="1" ht="14.4"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2621</v>
      </c>
      <c r="C123" s="554"/>
      <c r="D123" s="554"/>
      <c r="E123" s="554"/>
      <c r="F123" s="583"/>
      <c r="G123" s="583"/>
      <c r="H123" s="583"/>
      <c r="I123" s="583"/>
      <c r="J123" s="583"/>
      <c r="K123" s="584"/>
      <c r="L123" s="585"/>
      <c r="M123" s="586"/>
      <c r="N123" s="1152"/>
      <c r="O123" s="1152"/>
      <c r="P123" s="267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7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4.4" thickBot="1">
      <c r="A128" s="553"/>
      <c r="B128" s="543"/>
      <c r="C128" s="560"/>
      <c r="D128" s="536"/>
      <c r="E128" s="536"/>
      <c r="F128" s="536"/>
      <c r="G128" s="560"/>
      <c r="H128" s="562"/>
      <c r="I128" s="562"/>
      <c r="J128" s="562"/>
      <c r="K128" s="562"/>
      <c r="L128" s="562"/>
      <c r="M128" s="563"/>
      <c r="N128" s="1154"/>
      <c r="O128" s="1154"/>
      <c r="P128" s="2679"/>
      <c r="Q128" s="559"/>
    </row>
    <row r="129" spans="1:17" ht="14.4" thickTop="1">
      <c r="A129" s="599"/>
      <c r="B129" s="538">
        <f>B46</f>
        <v>111</v>
      </c>
      <c r="C129" s="554"/>
      <c r="D129" s="554"/>
      <c r="E129" s="554"/>
      <c r="F129" s="554"/>
      <c r="G129" s="583"/>
      <c r="H129" s="583"/>
      <c r="I129" s="583"/>
      <c r="J129" s="583"/>
      <c r="K129" s="584"/>
      <c r="L129" s="585"/>
      <c r="M129" s="586"/>
      <c r="N129" s="1152"/>
      <c r="O129" s="1152"/>
      <c r="P129" s="2678"/>
      <c r="Q129" s="504"/>
    </row>
    <row r="130" spans="1:17" ht="14.4" thickBot="1">
      <c r="A130" s="534"/>
      <c r="B130" s="543"/>
      <c r="C130" s="560"/>
      <c r="D130" s="560"/>
      <c r="E130" s="560"/>
      <c r="F130" s="560"/>
      <c r="G130" s="536"/>
      <c r="H130" s="536"/>
      <c r="I130" s="536"/>
      <c r="J130" s="536"/>
      <c r="K130" s="536"/>
      <c r="L130" s="536"/>
      <c r="M130" s="537"/>
      <c r="N130" s="1153"/>
      <c r="O130" s="1153"/>
      <c r="P130" s="2678"/>
      <c r="Q130" s="504"/>
    </row>
    <row r="131" spans="1:17" ht="14.4" thickTop="1">
      <c r="A131" s="599"/>
      <c r="B131" s="546">
        <f>B47</f>
        <v>111</v>
      </c>
      <c r="C131" s="523"/>
      <c r="D131" s="523"/>
      <c r="E131" s="523"/>
      <c r="F131" s="523"/>
      <c r="G131" s="587"/>
      <c r="H131" s="587"/>
      <c r="I131" s="587"/>
      <c r="J131" s="587"/>
      <c r="K131" s="523"/>
      <c r="L131" s="524"/>
      <c r="M131" s="590"/>
      <c r="N131" s="1152"/>
      <c r="O131" s="1152"/>
      <c r="P131" s="2678"/>
      <c r="Q131" s="504"/>
    </row>
    <row r="132" spans="1:17" ht="14.4"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663" t="s">
        <v>2703</v>
      </c>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IF(C2="——",ROUND(C43*D3/10000,0),ROUND(C43*D3/10000,0)-D2)</f>
        <v>#DIV/0!</v>
      </c>
      <c r="C2" s="2583"/>
      <c r="D2" s="1124" t="e">
        <f ca="1">SUMIF(INDIRECT("'"&amp;F2&amp;"'"&amp;"!A:A"),"承租人权益价值",INDIRECT("'"&amp;F2&amp;"'"&amp;"!c:c"))</f>
        <v>#REF!</v>
      </c>
      <c r="E2" s="2584" t="s">
        <v>2332</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49782.53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60" t="s">
        <v>2647</v>
      </c>
      <c r="D4" s="3173"/>
      <c r="E4" s="3174" t="s">
        <v>2648</v>
      </c>
      <c r="F4" s="3175"/>
      <c r="G4" s="3160" t="s">
        <v>2649</v>
      </c>
      <c r="H4" s="3173"/>
      <c r="I4" s="3160" t="s">
        <v>2650</v>
      </c>
      <c r="J4" s="3173"/>
      <c r="K4" s="610" t="s">
        <v>2651</v>
      </c>
      <c r="L4" s="1130"/>
      <c r="M4" s="1131"/>
      <c r="N4" s="1131"/>
      <c r="O4" s="1131"/>
      <c r="P4" s="3176" t="s">
        <v>2652</v>
      </c>
      <c r="Q4" s="3177"/>
      <c r="R4" s="3182" t="s">
        <v>2648</v>
      </c>
      <c r="S4" s="3183"/>
      <c r="T4" s="3182" t="s">
        <v>2649</v>
      </c>
      <c r="U4" s="3183"/>
      <c r="V4" s="3169" t="s">
        <v>2650</v>
      </c>
      <c r="W4" s="3169"/>
      <c r="X4" s="1811"/>
      <c r="Y4" s="3182" t="s">
        <v>2652</v>
      </c>
      <c r="Z4" s="3183"/>
      <c r="AA4" s="3170" t="s">
        <v>2648</v>
      </c>
      <c r="AB4" s="3171" t="s">
        <v>2649</v>
      </c>
      <c r="AC4" s="3170" t="s">
        <v>2650</v>
      </c>
    </row>
    <row r="5" spans="1:29">
      <c r="A5" s="404"/>
      <c r="B5" s="405"/>
      <c r="C5" s="3190" t="s">
        <v>2543</v>
      </c>
      <c r="D5" s="3191"/>
      <c r="E5" s="3199" t="s">
        <v>2544</v>
      </c>
      <c r="F5" s="3200"/>
      <c r="G5" s="3190" t="s">
        <v>2545</v>
      </c>
      <c r="H5" s="3191"/>
      <c r="I5" s="3190" t="s">
        <v>2546</v>
      </c>
      <c r="J5" s="3191"/>
      <c r="K5" s="610"/>
      <c r="L5" s="1130"/>
      <c r="M5" s="1131"/>
      <c r="N5" s="1131"/>
      <c r="O5" s="1131"/>
      <c r="P5" s="3178"/>
      <c r="Q5" s="3179"/>
      <c r="R5" s="3184"/>
      <c r="S5" s="3185"/>
      <c r="T5" s="3184"/>
      <c r="U5" s="3185"/>
      <c r="V5" s="3169"/>
      <c r="W5" s="3169"/>
      <c r="X5" s="1811"/>
      <c r="Y5" s="3184"/>
      <c r="Z5" s="3185"/>
      <c r="AA5" s="3171"/>
      <c r="AB5" s="3171"/>
      <c r="AC5" s="3171"/>
    </row>
    <row r="6" spans="1:29" ht="15" thickBot="1">
      <c r="A6" s="406"/>
      <c r="B6" s="407"/>
      <c r="C6" s="3188" t="s">
        <v>2547</v>
      </c>
      <c r="D6" s="3189"/>
      <c r="E6" s="3197" t="s">
        <v>2547</v>
      </c>
      <c r="F6" s="3198"/>
      <c r="G6" s="3188" t="s">
        <v>2547</v>
      </c>
      <c r="H6" s="3189"/>
      <c r="I6" s="3188" t="s">
        <v>2547</v>
      </c>
      <c r="J6" s="3189"/>
      <c r="K6" s="610" t="s">
        <v>2548</v>
      </c>
      <c r="L6" s="1130"/>
      <c r="M6" s="1131"/>
      <c r="N6" s="1131"/>
      <c r="O6" s="1131"/>
      <c r="P6" s="3180"/>
      <c r="Q6" s="3181"/>
      <c r="R6" s="3184"/>
      <c r="S6" s="3185"/>
      <c r="T6" s="3186"/>
      <c r="U6" s="3187"/>
      <c r="V6" s="3169"/>
      <c r="W6" s="3169"/>
      <c r="X6" s="1811"/>
      <c r="Y6" s="3186"/>
      <c r="Z6" s="3187"/>
      <c r="AA6" s="3172"/>
      <c r="AB6" s="3172"/>
      <c r="AC6" s="3172"/>
    </row>
    <row r="7" spans="1:29" s="117" customFormat="1" ht="15" thickBot="1">
      <c r="A7" s="408" t="s">
        <v>2549</v>
      </c>
      <c r="B7" s="409"/>
      <c r="C7" s="410">
        <f>'数据-取费表'!B2</f>
        <v>43342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3" t="s">
        <v>2556</v>
      </c>
      <c r="Q9" s="1793"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3"/>
      <c r="Q10" s="1793"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3"/>
      <c r="Q11" s="1793"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63"/>
      <c r="Q12" s="1793">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63"/>
      <c r="Q13" s="1793">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6" thickBot="1">
      <c r="A14" s="436"/>
      <c r="B14" s="2598">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63"/>
      <c r="Q14" s="1793">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69">
      <c r="A15" s="440" t="s">
        <v>2560</v>
      </c>
      <c r="B15" s="69" t="s">
        <v>2704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5" t="s">
        <v>2561</v>
      </c>
      <c r="Q15" s="1808" t="str">
        <f t="shared" si="6"/>
        <v>产业集聚程度</v>
      </c>
      <c r="R15" s="774" t="s">
        <v>17</v>
      </c>
      <c r="S15" s="775">
        <f t="shared" si="0"/>
        <v>100</v>
      </c>
      <c r="T15" s="774" t="s">
        <v>17</v>
      </c>
      <c r="U15" s="775">
        <f t="shared" si="1"/>
        <v>100</v>
      </c>
      <c r="V15" s="774" t="s">
        <v>17</v>
      </c>
      <c r="W15" s="775">
        <f t="shared" si="2"/>
        <v>100</v>
      </c>
      <c r="X15" s="1811"/>
      <c r="Y15" s="3165"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166"/>
      <c r="Q16" s="1808"/>
      <c r="R16" s="774"/>
      <c r="S16" s="775"/>
      <c r="T16" s="774"/>
      <c r="U16" s="775"/>
      <c r="V16" s="774"/>
      <c r="W16" s="775"/>
      <c r="X16" s="1811"/>
      <c r="Y16" s="3166"/>
      <c r="Z16" s="1812"/>
      <c r="AA16" s="1809">
        <v>1</v>
      </c>
      <c r="AB16" s="1809">
        <v>1</v>
      </c>
      <c r="AC16" s="1809">
        <v>1</v>
      </c>
    </row>
    <row r="17" spans="1:29" ht="96.6">
      <c r="A17" s="428"/>
      <c r="B17" s="451" t="s">
        <v>2099</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6"/>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9"/>
      <c r="P18" s="3166"/>
      <c r="Q18" s="1808"/>
      <c r="R18" s="774"/>
      <c r="S18" s="775"/>
      <c r="T18" s="774"/>
      <c r="U18" s="775"/>
      <c r="V18" s="774"/>
      <c r="W18" s="775"/>
      <c r="X18" s="1811"/>
      <c r="Y18" s="3166"/>
      <c r="Z18" s="1812"/>
      <c r="AA18" s="1809">
        <v>1</v>
      </c>
      <c r="AB18" s="1809">
        <v>1</v>
      </c>
      <c r="AC18" s="1809">
        <v>1</v>
      </c>
    </row>
    <row r="19" spans="1:29" ht="41.4">
      <c r="A19" s="428"/>
      <c r="B19" s="451" t="s">
        <v>2689</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6"/>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9"/>
      <c r="P20" s="3166"/>
      <c r="Q20" s="1808"/>
      <c r="R20" s="774"/>
      <c r="S20" s="775"/>
      <c r="T20" s="774"/>
      <c r="U20" s="775"/>
      <c r="V20" s="774"/>
      <c r="W20" s="775"/>
      <c r="X20" s="1811"/>
      <c r="Y20" s="3166"/>
      <c r="Z20" s="1812"/>
      <c r="AA20" s="1809">
        <v>1</v>
      </c>
      <c r="AB20" s="1809">
        <v>1</v>
      </c>
      <c r="AC20" s="1809">
        <v>1</v>
      </c>
    </row>
    <row r="21" spans="1:29" ht="41.4">
      <c r="A21" s="428"/>
      <c r="B21" s="1384" t="s">
        <v>2690</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6"/>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9"/>
      <c r="P22" s="3166"/>
      <c r="Q22" s="1808"/>
      <c r="R22" s="774"/>
      <c r="S22" s="775"/>
      <c r="T22" s="774"/>
      <c r="U22" s="775"/>
      <c r="V22" s="774"/>
      <c r="W22" s="775"/>
      <c r="X22" s="1811"/>
      <c r="Y22" s="3166"/>
      <c r="Z22" s="1812"/>
      <c r="AA22" s="1809">
        <v>1</v>
      </c>
      <c r="AB22" s="1809">
        <v>1</v>
      </c>
      <c r="AC22" s="1809">
        <v>1</v>
      </c>
    </row>
    <row r="23" spans="1:29" ht="82.8">
      <c r="A23" s="428"/>
      <c r="B23" s="451" t="s">
        <v>2691</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6"/>
      <c r="Q23" s="1808" t="str">
        <f>B23</f>
        <v>环境质量</v>
      </c>
      <c r="R23" s="774" t="s">
        <v>17</v>
      </c>
      <c r="S23" s="775">
        <f>F23</f>
        <v>100</v>
      </c>
      <c r="T23" s="774" t="s">
        <v>17</v>
      </c>
      <c r="U23" s="775">
        <f>H23</f>
        <v>100</v>
      </c>
      <c r="V23" s="774" t="s">
        <v>17</v>
      </c>
      <c r="W23" s="775">
        <f>J23</f>
        <v>100</v>
      </c>
      <c r="X23" s="1811"/>
      <c r="Y23" s="3166"/>
      <c r="Z23" s="1812" t="str">
        <f>Q23</f>
        <v>环境质量</v>
      </c>
      <c r="AA23" s="1809">
        <f t="shared" si="3"/>
        <v>1</v>
      </c>
      <c r="AB23" s="1809">
        <f t="shared" si="4"/>
        <v>1</v>
      </c>
      <c r="AC23" s="1809">
        <f t="shared" si="5"/>
        <v>1</v>
      </c>
    </row>
    <row r="24" spans="1:29" ht="15">
      <c r="A24" s="428"/>
      <c r="B24" s="1384"/>
      <c r="C24" s="447"/>
      <c r="D24" s="448"/>
      <c r="E24" s="2601"/>
      <c r="F24" s="449"/>
      <c r="G24" s="2600"/>
      <c r="H24" s="448"/>
      <c r="I24" s="2601"/>
      <c r="J24" s="448"/>
      <c r="K24" s="615"/>
      <c r="L24" s="1140"/>
      <c r="M24" s="1131"/>
      <c r="N24" s="1131"/>
      <c r="O24" s="1139"/>
      <c r="P24" s="3166"/>
      <c r="Q24" s="1808"/>
      <c r="R24" s="774"/>
      <c r="S24" s="775"/>
      <c r="T24" s="774"/>
      <c r="U24" s="775"/>
      <c r="V24" s="774"/>
      <c r="W24" s="775"/>
      <c r="X24" s="1811"/>
      <c r="Y24" s="3166"/>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6"/>
      <c r="Q25" s="1808">
        <f>B25</f>
        <v>111</v>
      </c>
      <c r="R25" s="774" t="s">
        <v>17</v>
      </c>
      <c r="S25" s="775">
        <f>F25</f>
        <v>100</v>
      </c>
      <c r="T25" s="774" t="s">
        <v>17</v>
      </c>
      <c r="U25" s="775">
        <f>H25</f>
        <v>100</v>
      </c>
      <c r="V25" s="774" t="s">
        <v>17</v>
      </c>
      <c r="W25" s="775">
        <f>J25</f>
        <v>100</v>
      </c>
      <c r="X25" s="1811"/>
      <c r="Y25" s="3166"/>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6"/>
      <c r="Q26" s="1808">
        <f t="shared" ref="Q26:Q40" si="11">B26</f>
        <v>111</v>
      </c>
      <c r="R26" s="774" t="s">
        <v>17</v>
      </c>
      <c r="S26" s="775">
        <f>F26</f>
        <v>100</v>
      </c>
      <c r="T26" s="774" t="s">
        <v>17</v>
      </c>
      <c r="U26" s="775">
        <f>H26</f>
        <v>100</v>
      </c>
      <c r="V26" s="774" t="s">
        <v>17</v>
      </c>
      <c r="W26" s="775">
        <f>J26</f>
        <v>100</v>
      </c>
      <c r="X26" s="1811"/>
      <c r="Y26" s="3166"/>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6"/>
      <c r="Q27" s="1793">
        <f t="shared" si="11"/>
        <v>111</v>
      </c>
      <c r="R27" s="770" t="s">
        <v>17</v>
      </c>
      <c r="S27" s="771">
        <f>F27</f>
        <v>100</v>
      </c>
      <c r="T27" s="770" t="s">
        <v>17</v>
      </c>
      <c r="U27" s="771">
        <f>H27</f>
        <v>100</v>
      </c>
      <c r="V27" s="770" t="s">
        <v>17</v>
      </c>
      <c r="W27" s="771">
        <f>J27</f>
        <v>100</v>
      </c>
      <c r="X27" s="772"/>
      <c r="Y27" s="3166"/>
      <c r="Z27" s="55">
        <f>Q27</f>
        <v>111</v>
      </c>
      <c r="AA27" s="1809">
        <f>D27/F27</f>
        <v>1</v>
      </c>
      <c r="AB27" s="1809">
        <f>D27/H27</f>
        <v>1</v>
      </c>
      <c r="AC27" s="1809">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6"/>
      <c r="Q28" s="1808">
        <f t="shared" si="11"/>
        <v>111</v>
      </c>
      <c r="R28" s="774" t="s">
        <v>17</v>
      </c>
      <c r="S28" s="775">
        <f t="shared" ref="S28:S40" si="12">F28</f>
        <v>100</v>
      </c>
      <c r="T28" s="774" t="s">
        <v>17</v>
      </c>
      <c r="U28" s="775">
        <f t="shared" ref="U28:U40" si="13">H28</f>
        <v>100</v>
      </c>
      <c r="V28" s="774" t="s">
        <v>17</v>
      </c>
      <c r="W28" s="775">
        <f t="shared" ref="W28:W40" si="14">J28</f>
        <v>100</v>
      </c>
      <c r="X28" s="1811"/>
      <c r="Y28" s="3166"/>
      <c r="Z28" s="1812">
        <f t="shared" ref="Z28:Z40" si="15">Q28</f>
        <v>111</v>
      </c>
      <c r="AA28" s="1809">
        <f t="shared" si="3"/>
        <v>1</v>
      </c>
      <c r="AB28" s="1809">
        <f t="shared" si="4"/>
        <v>1</v>
      </c>
      <c r="AC28" s="1809">
        <f t="shared" si="5"/>
        <v>1</v>
      </c>
    </row>
    <row r="29" spans="1:29" ht="30">
      <c r="A29" s="466" t="s">
        <v>2564</v>
      </c>
      <c r="B29" s="71" t="s">
        <v>2694</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167" t="s">
        <v>2566</v>
      </c>
      <c r="Q29" s="1808" t="str">
        <f t="shared" si="11"/>
        <v>建筑类型</v>
      </c>
      <c r="R29" s="774" t="s">
        <v>17</v>
      </c>
      <c r="S29" s="775">
        <f t="shared" si="12"/>
        <v>100</v>
      </c>
      <c r="T29" s="774" t="s">
        <v>17</v>
      </c>
      <c r="U29" s="775">
        <f t="shared" si="13"/>
        <v>100</v>
      </c>
      <c r="V29" s="774" t="s">
        <v>17</v>
      </c>
      <c r="W29" s="775">
        <f t="shared" si="14"/>
        <v>100</v>
      </c>
      <c r="X29" s="1811"/>
      <c r="Y29" s="3168"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8"/>
      <c r="Q30" s="776" t="str">
        <f t="shared" si="11"/>
        <v>项目建筑规模</v>
      </c>
      <c r="R30" s="777" t="s">
        <v>17</v>
      </c>
      <c r="S30" s="778" t="e">
        <f t="shared" si="12"/>
        <v>#N/A</v>
      </c>
      <c r="T30" s="777" t="s">
        <v>17</v>
      </c>
      <c r="U30" s="778" t="e">
        <f t="shared" si="13"/>
        <v>#N/A</v>
      </c>
      <c r="V30" s="777" t="s">
        <v>17</v>
      </c>
      <c r="W30" s="778" t="e">
        <f t="shared" si="14"/>
        <v>#N/A</v>
      </c>
      <c r="X30" s="779"/>
      <c r="Y30" s="3168"/>
      <c r="Z30" s="780"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8"/>
      <c r="Q31" s="1808" t="str">
        <f t="shared" si="11"/>
        <v>建筑结构</v>
      </c>
      <c r="R31" s="774" t="s">
        <v>17</v>
      </c>
      <c r="S31" s="775">
        <f t="shared" si="12"/>
        <v>100</v>
      </c>
      <c r="T31" s="774" t="s">
        <v>17</v>
      </c>
      <c r="U31" s="775">
        <f t="shared" si="13"/>
        <v>100</v>
      </c>
      <c r="V31" s="774" t="s">
        <v>17</v>
      </c>
      <c r="W31" s="775">
        <f t="shared" si="14"/>
        <v>100</v>
      </c>
      <c r="X31" s="1811"/>
      <c r="Y31" s="3168"/>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8"/>
      <c r="Q32" s="1808" t="str">
        <f t="shared" si="11"/>
        <v>公共部分装修</v>
      </c>
      <c r="R32" s="774" t="s">
        <v>17</v>
      </c>
      <c r="S32" s="775">
        <f t="shared" si="12"/>
        <v>100</v>
      </c>
      <c r="T32" s="774" t="s">
        <v>17</v>
      </c>
      <c r="U32" s="775">
        <f t="shared" si="13"/>
        <v>100</v>
      </c>
      <c r="V32" s="774" t="s">
        <v>17</v>
      </c>
      <c r="W32" s="775">
        <f t="shared" si="14"/>
        <v>100</v>
      </c>
      <c r="X32" s="1811"/>
      <c r="Y32" s="3168"/>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8"/>
      <c r="Q33" s="1808" t="str">
        <f t="shared" si="11"/>
        <v>成新度</v>
      </c>
      <c r="R33" s="774" t="s">
        <v>17</v>
      </c>
      <c r="S33" s="775" t="e">
        <f t="shared" si="12"/>
        <v>#N/A</v>
      </c>
      <c r="T33" s="774" t="s">
        <v>17</v>
      </c>
      <c r="U33" s="775" t="e">
        <f t="shared" si="13"/>
        <v>#N/A</v>
      </c>
      <c r="V33" s="774" t="s">
        <v>17</v>
      </c>
      <c r="W33" s="775" t="e">
        <f t="shared" si="14"/>
        <v>#N/A</v>
      </c>
      <c r="X33" s="1811"/>
      <c r="Y33" s="3168"/>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8"/>
      <c r="Q34" s="1793" t="str">
        <f t="shared" si="11"/>
        <v>物业管理</v>
      </c>
      <c r="R34" s="770" t="s">
        <v>17</v>
      </c>
      <c r="S34" s="771">
        <f t="shared" si="12"/>
        <v>100</v>
      </c>
      <c r="T34" s="770" t="s">
        <v>17</v>
      </c>
      <c r="U34" s="771">
        <f t="shared" si="13"/>
        <v>100</v>
      </c>
      <c r="V34" s="770" t="s">
        <v>17</v>
      </c>
      <c r="W34" s="771">
        <f t="shared" si="14"/>
        <v>100</v>
      </c>
      <c r="X34" s="772"/>
      <c r="Y34" s="316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8" t="s">
        <v>2566</v>
      </c>
      <c r="Q35" s="1808" t="str">
        <f t="shared" si="11"/>
        <v>市政基础设施</v>
      </c>
      <c r="R35" s="774" t="s">
        <v>17</v>
      </c>
      <c r="S35" s="775">
        <f t="shared" si="12"/>
        <v>100</v>
      </c>
      <c r="T35" s="774" t="s">
        <v>17</v>
      </c>
      <c r="U35" s="775">
        <f t="shared" si="13"/>
        <v>100</v>
      </c>
      <c r="V35" s="774" t="s">
        <v>17</v>
      </c>
      <c r="W35" s="775">
        <f t="shared" si="14"/>
        <v>100</v>
      </c>
      <c r="X35" s="1811"/>
      <c r="Y35" s="3168"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8"/>
      <c r="Q36" s="1808" t="str">
        <f t="shared" si="11"/>
        <v>内部装修</v>
      </c>
      <c r="R36" s="774" t="s">
        <v>17</v>
      </c>
      <c r="S36" s="775">
        <f t="shared" si="12"/>
        <v>100</v>
      </c>
      <c r="T36" s="774" t="s">
        <v>17</v>
      </c>
      <c r="U36" s="775">
        <f t="shared" si="13"/>
        <v>100</v>
      </c>
      <c r="V36" s="774" t="s">
        <v>17</v>
      </c>
      <c r="W36" s="775">
        <f t="shared" si="14"/>
        <v>100</v>
      </c>
      <c r="X36" s="1811"/>
      <c r="Y36" s="3168"/>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8"/>
      <c r="Q37" s="1808" t="str">
        <f t="shared" si="11"/>
        <v>内部装修状况</v>
      </c>
      <c r="R37" s="774" t="s">
        <v>17</v>
      </c>
      <c r="S37" s="775">
        <f t="shared" si="12"/>
        <v>100</v>
      </c>
      <c r="T37" s="774" t="s">
        <v>17</v>
      </c>
      <c r="U37" s="775">
        <f t="shared" si="13"/>
        <v>100</v>
      </c>
      <c r="V37" s="774" t="s">
        <v>17</v>
      </c>
      <c r="W37" s="775">
        <f t="shared" si="14"/>
        <v>100</v>
      </c>
      <c r="X37" s="1811"/>
      <c r="Y37" s="3168"/>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8"/>
      <c r="Q38" s="776">
        <f t="shared" si="11"/>
        <v>111</v>
      </c>
      <c r="R38" s="777" t="s">
        <v>17</v>
      </c>
      <c r="S38" s="778">
        <f t="shared" si="12"/>
        <v>100</v>
      </c>
      <c r="T38" s="777" t="s">
        <v>17</v>
      </c>
      <c r="U38" s="778">
        <f t="shared" si="13"/>
        <v>100</v>
      </c>
      <c r="V38" s="777" t="s">
        <v>17</v>
      </c>
      <c r="W38" s="778">
        <f t="shared" si="14"/>
        <v>100</v>
      </c>
      <c r="X38" s="779"/>
      <c r="Y38" s="3168"/>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8"/>
      <c r="Q39" s="1808">
        <f t="shared" si="11"/>
        <v>111</v>
      </c>
      <c r="R39" s="774" t="s">
        <v>17</v>
      </c>
      <c r="S39" s="775">
        <f t="shared" si="12"/>
        <v>100</v>
      </c>
      <c r="T39" s="774" t="s">
        <v>17</v>
      </c>
      <c r="U39" s="775">
        <f t="shared" si="13"/>
        <v>100</v>
      </c>
      <c r="V39" s="774" t="s">
        <v>17</v>
      </c>
      <c r="W39" s="775">
        <f t="shared" si="14"/>
        <v>100</v>
      </c>
      <c r="X39" s="1811"/>
      <c r="Y39" s="3168"/>
      <c r="Z39" s="1812">
        <f t="shared" si="15"/>
        <v>111</v>
      </c>
      <c r="AA39" s="1809">
        <f t="shared" si="3"/>
        <v>1</v>
      </c>
      <c r="AB39" s="1809">
        <f t="shared" si="4"/>
        <v>1</v>
      </c>
      <c r="AC39" s="1809">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08">
        <f t="shared" si="11"/>
        <v>111</v>
      </c>
      <c r="R40" s="774" t="s">
        <v>17</v>
      </c>
      <c r="S40" s="775">
        <f t="shared" si="12"/>
        <v>100</v>
      </c>
      <c r="T40" s="774" t="s">
        <v>17</v>
      </c>
      <c r="U40" s="775">
        <f t="shared" si="13"/>
        <v>100</v>
      </c>
      <c r="V40" s="774" t="s">
        <v>17</v>
      </c>
      <c r="W40" s="775">
        <f t="shared" si="14"/>
        <v>100</v>
      </c>
      <c r="X40" s="1811"/>
      <c r="Y40" s="3236"/>
      <c r="Z40" s="1812">
        <f t="shared" si="15"/>
        <v>111</v>
      </c>
      <c r="AA40" s="1809">
        <f t="shared" si="3"/>
        <v>1</v>
      </c>
      <c r="AB40" s="1809">
        <f t="shared" si="4"/>
        <v>1</v>
      </c>
      <c r="AC40" s="1809">
        <f t="shared" si="5"/>
        <v>1</v>
      </c>
    </row>
    <row r="41" spans="1:29" ht="14.4">
      <c r="A41" s="479" t="s">
        <v>2578</v>
      </c>
      <c r="B41" s="480"/>
      <c r="C41" s="1406" t="s">
        <v>1</v>
      </c>
      <c r="D41" s="1407"/>
      <c r="E41" s="1408"/>
      <c r="F41" s="1409"/>
      <c r="G41" s="1410"/>
      <c r="H41" s="1411"/>
      <c r="I41" s="1408"/>
      <c r="J41" s="1411"/>
      <c r="K41" s="783"/>
      <c r="L41" s="1143"/>
      <c r="M41" s="1144"/>
      <c r="N41" s="1131"/>
      <c r="O41" s="1144"/>
      <c r="P41" s="3163" t="str">
        <f>A41</f>
        <v>成交单价（元/平方米）</v>
      </c>
      <c r="Q41" s="3163"/>
      <c r="R41" s="3232">
        <f>E41</f>
        <v>0</v>
      </c>
      <c r="S41" s="3232"/>
      <c r="T41" s="3232">
        <f>G41</f>
        <v>0</v>
      </c>
      <c r="U41" s="3232"/>
      <c r="V41" s="3232">
        <f>I41</f>
        <v>0</v>
      </c>
      <c r="W41" s="3232"/>
      <c r="X41" s="759"/>
      <c r="Y41" s="781"/>
      <c r="Z41" s="759"/>
      <c r="AA41" s="759"/>
      <c r="AB41" s="759"/>
      <c r="AC41" s="759"/>
    </row>
    <row r="42" spans="1:29" ht="1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63" t="str">
        <f>A42</f>
        <v>比较价值（元/平方米）</v>
      </c>
      <c r="Q42" s="3163"/>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 thickBot="1">
      <c r="A43" s="492" t="s">
        <v>2671</v>
      </c>
      <c r="B43" s="493"/>
      <c r="C43" s="1416" t="e">
        <f>R43</f>
        <v>#DIV/0!</v>
      </c>
      <c r="D43" s="1416"/>
      <c r="E43" s="1416"/>
      <c r="F43" s="1416"/>
      <c r="G43" s="1416"/>
      <c r="H43" s="1416"/>
      <c r="I43" s="1416"/>
      <c r="J43" s="1416"/>
      <c r="K43" s="785"/>
      <c r="L43" s="1143"/>
      <c r="M43" s="1144"/>
      <c r="N43" s="1144"/>
      <c r="O43" s="1144"/>
      <c r="P43" s="3157" t="str">
        <f>A43</f>
        <v>估价对象XX用房的比较价值（楼面单价，元/平方米）</v>
      </c>
      <c r="Q43" s="3158"/>
      <c r="R43" s="3231" t="e">
        <f>IF(F1="售价",ROUND(AVERAGE(R42:V42),0),ROUND(AVERAGE(R42:V42),1))</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2675</v>
      </c>
      <c r="B51" s="759"/>
      <c r="C51" s="764"/>
      <c r="D51" s="764"/>
      <c r="E51" s="764"/>
      <c r="F51" s="765"/>
      <c r="G51" s="765"/>
      <c r="H51" s="764"/>
      <c r="I51" s="764"/>
      <c r="J51" s="764"/>
      <c r="K51" s="1160"/>
      <c r="L51" s="1161"/>
      <c r="M51" s="1159"/>
      <c r="N51" s="1159"/>
      <c r="O51" s="1159"/>
      <c r="P51" s="503"/>
      <c r="Q51" s="504"/>
    </row>
    <row r="52" spans="1:17" s="508" customFormat="1" ht="14.4">
      <c r="A52" s="505" t="s">
        <v>2549</v>
      </c>
      <c r="B52" s="506"/>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2589</v>
      </c>
      <c r="B57" s="528" t="s">
        <v>2555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0"/>
      <c r="B87" s="569"/>
      <c r="C87" s="570"/>
      <c r="D87" s="570"/>
      <c r="E87" s="570"/>
      <c r="F87" s="570"/>
      <c r="G87" s="591"/>
      <c r="H87" s="591"/>
      <c r="I87" s="591"/>
      <c r="J87" s="591"/>
      <c r="K87" s="591"/>
      <c r="L87" s="591"/>
      <c r="M87" s="592"/>
      <c r="N87" s="1153"/>
      <c r="O87" s="1153"/>
      <c r="P87" s="45"/>
      <c r="Q87" s="504"/>
    </row>
    <row r="88" spans="1:17" ht="14.4">
      <c r="A88" s="527" t="s">
        <v>2564</v>
      </c>
      <c r="B88" s="528" t="s">
        <v>2613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2708</v>
      </c>
      <c r="B1" s="1617"/>
      <c r="C1" s="1618" t="s">
        <v>2531</v>
      </c>
      <c r="D1" s="1619"/>
      <c r="E1" s="1620"/>
      <c r="F1" s="2581"/>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2331</v>
      </c>
      <c r="B2" s="1417" t="e">
        <f ca="1">IF(C2="——",IF(B37="元/平方米",ROUND(C39*D3/10000,0),ROUND(F3*C39/10000,0)),IF(B37="元/平方米",ROUND(C39*D3/10000,0),ROUND(F3*C39/10000,0))-D2)</f>
        <v>#DIV/0!</v>
      </c>
      <c r="C2" s="2583"/>
      <c r="D2" s="1124" t="e">
        <f ca="1">SUMIF(INDIRECT("'"&amp;F2&amp;"'"&amp;"!A:A"),"承租人权益价值",INDIRECT("'"&amp;F2&amp;"'"&amp;"!c:c"))</f>
        <v>#REF!</v>
      </c>
      <c r="E2" s="2584" t="s">
        <v>2332</v>
      </c>
      <c r="F2" s="2585"/>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2646</v>
      </c>
      <c r="B4" s="402"/>
      <c r="C4" s="3160" t="s">
        <v>2647</v>
      </c>
      <c r="D4" s="3173"/>
      <c r="E4" s="3174" t="s">
        <v>2648</v>
      </c>
      <c r="F4" s="3175"/>
      <c r="G4" s="3160" t="s">
        <v>2649</v>
      </c>
      <c r="H4" s="3173"/>
      <c r="I4" s="3160" t="s">
        <v>2650</v>
      </c>
      <c r="J4" s="3173"/>
      <c r="K4" s="610" t="s">
        <v>2651</v>
      </c>
      <c r="L4" s="1130"/>
      <c r="M4" s="1131"/>
      <c r="N4" s="1131"/>
      <c r="O4" s="1131"/>
      <c r="P4" s="3176" t="s">
        <v>2652</v>
      </c>
      <c r="Q4" s="3177"/>
      <c r="R4" s="3182" t="s">
        <v>2648</v>
      </c>
      <c r="S4" s="3183"/>
      <c r="T4" s="3182" t="s">
        <v>2649</v>
      </c>
      <c r="U4" s="3183"/>
      <c r="V4" s="3169" t="s">
        <v>2650</v>
      </c>
      <c r="W4" s="3169"/>
      <c r="X4" s="1811"/>
      <c r="Y4" s="3182" t="s">
        <v>2652</v>
      </c>
      <c r="Z4" s="3183"/>
      <c r="AA4" s="3170" t="s">
        <v>2648</v>
      </c>
      <c r="AB4" s="3171" t="s">
        <v>2649</v>
      </c>
      <c r="AC4" s="3170" t="s">
        <v>2650</v>
      </c>
    </row>
    <row r="5" spans="1:29">
      <c r="A5" s="404"/>
      <c r="B5" s="405"/>
      <c r="C5" s="3190" t="s">
        <v>2543</v>
      </c>
      <c r="D5" s="3191"/>
      <c r="E5" s="3199" t="s">
        <v>2544</v>
      </c>
      <c r="F5" s="3200"/>
      <c r="G5" s="3190" t="s">
        <v>2545</v>
      </c>
      <c r="H5" s="3191"/>
      <c r="I5" s="3190" t="s">
        <v>2546</v>
      </c>
      <c r="J5" s="3191"/>
      <c r="K5" s="610"/>
      <c r="L5" s="1130"/>
      <c r="M5" s="1131"/>
      <c r="N5" s="1131"/>
      <c r="O5" s="1131"/>
      <c r="P5" s="3178"/>
      <c r="Q5" s="3179"/>
      <c r="R5" s="3184"/>
      <c r="S5" s="3185"/>
      <c r="T5" s="3184"/>
      <c r="U5" s="3185"/>
      <c r="V5" s="3169"/>
      <c r="W5" s="3169"/>
      <c r="X5" s="1811"/>
      <c r="Y5" s="3184"/>
      <c r="Z5" s="3185"/>
      <c r="AA5" s="3171"/>
      <c r="AB5" s="3171"/>
      <c r="AC5" s="3171"/>
    </row>
    <row r="6" spans="1:29" ht="15" thickBot="1">
      <c r="A6" s="406"/>
      <c r="B6" s="407"/>
      <c r="C6" s="3188" t="s">
        <v>2547</v>
      </c>
      <c r="D6" s="3189"/>
      <c r="E6" s="3197" t="s">
        <v>2547</v>
      </c>
      <c r="F6" s="3198"/>
      <c r="G6" s="3188" t="s">
        <v>2547</v>
      </c>
      <c r="H6" s="3189"/>
      <c r="I6" s="3188" t="s">
        <v>2547</v>
      </c>
      <c r="J6" s="3189"/>
      <c r="K6" s="610" t="s">
        <v>2548</v>
      </c>
      <c r="L6" s="1130"/>
      <c r="M6" s="1131"/>
      <c r="N6" s="1131"/>
      <c r="O6" s="1131"/>
      <c r="P6" s="3180"/>
      <c r="Q6" s="3181"/>
      <c r="R6" s="3184"/>
      <c r="S6" s="3185"/>
      <c r="T6" s="3186"/>
      <c r="U6" s="3187"/>
      <c r="V6" s="3169"/>
      <c r="W6" s="3169"/>
      <c r="X6" s="1811"/>
      <c r="Y6" s="3186"/>
      <c r="Z6" s="3187"/>
      <c r="AA6" s="3172"/>
      <c r="AB6" s="3172"/>
      <c r="AC6" s="3172"/>
    </row>
    <row r="7" spans="1:29" s="117" customFormat="1" ht="15" thickBot="1">
      <c r="A7" s="408" t="s">
        <v>2549</v>
      </c>
      <c r="B7" s="409"/>
      <c r="C7" s="410">
        <f>'数据-取费表'!B2</f>
        <v>43342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2" t="s">
        <v>2553</v>
      </c>
      <c r="Q8" s="3193"/>
      <c r="R8" s="770" t="s">
        <v>17</v>
      </c>
      <c r="S8" s="771">
        <f t="shared" si="0"/>
        <v>0</v>
      </c>
      <c r="T8" s="770" t="s">
        <v>17</v>
      </c>
      <c r="U8" s="771">
        <f t="shared" si="1"/>
        <v>0</v>
      </c>
      <c r="V8" s="770" t="s">
        <v>17</v>
      </c>
      <c r="W8" s="771">
        <f t="shared" si="2"/>
        <v>0</v>
      </c>
      <c r="X8" s="772"/>
      <c r="Y8" s="3192" t="s">
        <v>2553</v>
      </c>
      <c r="Z8" s="3193"/>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3" t="s">
        <v>2556</v>
      </c>
      <c r="Q9" s="1793" t="str">
        <f t="shared" ref="Q9:Q14" si="6">B9</f>
        <v>用途</v>
      </c>
      <c r="R9" s="770" t="s">
        <v>17</v>
      </c>
      <c r="S9" s="771">
        <f t="shared" si="0"/>
        <v>100</v>
      </c>
      <c r="T9" s="770" t="s">
        <v>17</v>
      </c>
      <c r="U9" s="771">
        <f t="shared" si="1"/>
        <v>100</v>
      </c>
      <c r="V9" s="770" t="s">
        <v>17</v>
      </c>
      <c r="W9" s="771">
        <f t="shared" si="2"/>
        <v>100</v>
      </c>
      <c r="X9" s="772"/>
      <c r="Y9" s="3014"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3"/>
      <c r="Q10" s="1793"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3"/>
      <c r="Q11" s="1793">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3"/>
      <c r="Q12" s="1793">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3"/>
      <c r="Q13" s="1793">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96.6">
      <c r="A14" s="401" t="s">
        <v>2560</v>
      </c>
      <c r="B14" s="629" t="s">
        <v>2710</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5" t="s">
        <v>2561</v>
      </c>
      <c r="Q14" s="1808" t="str">
        <f t="shared" si="6"/>
        <v>交通便捷度</v>
      </c>
      <c r="R14" s="774" t="s">
        <v>17</v>
      </c>
      <c r="S14" s="775">
        <f t="shared" si="0"/>
        <v>100</v>
      </c>
      <c r="T14" s="774" t="s">
        <v>17</v>
      </c>
      <c r="U14" s="775">
        <f t="shared" si="1"/>
        <v>100</v>
      </c>
      <c r="V14" s="774" t="s">
        <v>17</v>
      </c>
      <c r="W14" s="775">
        <f t="shared" si="2"/>
        <v>100</v>
      </c>
      <c r="X14" s="1811"/>
      <c r="Y14" s="3165"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166"/>
      <c r="Q15" s="1808"/>
      <c r="R15" s="774"/>
      <c r="S15" s="775"/>
      <c r="T15" s="774"/>
      <c r="U15" s="775"/>
      <c r="V15" s="774"/>
      <c r="W15" s="775"/>
      <c r="X15" s="1811"/>
      <c r="Y15" s="3166"/>
      <c r="Z15" s="1812"/>
      <c r="AA15" s="1809">
        <v>1</v>
      </c>
      <c r="AB15" s="1809">
        <v>1</v>
      </c>
      <c r="AC15" s="1809">
        <v>1</v>
      </c>
    </row>
    <row r="16" spans="1:29" ht="41.4">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6"/>
      <c r="Q16" s="1808" t="str">
        <f>B16</f>
        <v>公共配套设施</v>
      </c>
      <c r="R16" s="774" t="s">
        <v>17</v>
      </c>
      <c r="S16" s="775">
        <f>F16</f>
        <v>100</v>
      </c>
      <c r="T16" s="774" t="s">
        <v>17</v>
      </c>
      <c r="U16" s="775">
        <f>H16</f>
        <v>100</v>
      </c>
      <c r="V16" s="774" t="s">
        <v>17</v>
      </c>
      <c r="W16" s="775">
        <f>J16</f>
        <v>100</v>
      </c>
      <c r="X16" s="1811"/>
      <c r="Y16" s="3166"/>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40"/>
      <c r="M17" s="1131"/>
      <c r="N17" s="1131"/>
      <c r="O17" s="1131"/>
      <c r="P17" s="3166"/>
      <c r="Q17" s="1808"/>
      <c r="R17" s="774"/>
      <c r="S17" s="775"/>
      <c r="T17" s="774"/>
      <c r="U17" s="775"/>
      <c r="V17" s="774"/>
      <c r="W17" s="775"/>
      <c r="X17" s="1811"/>
      <c r="Y17" s="3166"/>
      <c r="Z17" s="1812"/>
      <c r="AA17" s="1809">
        <v>1</v>
      </c>
      <c r="AB17" s="1809">
        <v>1</v>
      </c>
      <c r="AC17" s="1809">
        <v>1</v>
      </c>
    </row>
    <row r="18" spans="1:29" ht="41.4">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6"/>
      <c r="Q18" s="1808" t="str">
        <f>B18</f>
        <v>基础设施水平</v>
      </c>
      <c r="R18" s="774" t="s">
        <v>17</v>
      </c>
      <c r="S18" s="775">
        <f>F18</f>
        <v>100</v>
      </c>
      <c r="T18" s="774" t="s">
        <v>17</v>
      </c>
      <c r="U18" s="775">
        <f>H18</f>
        <v>100</v>
      </c>
      <c r="V18" s="774" t="s">
        <v>17</v>
      </c>
      <c r="W18" s="775">
        <f>J18</f>
        <v>100</v>
      </c>
      <c r="X18" s="1811"/>
      <c r="Y18" s="3166"/>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3"/>
      <c r="L19" s="1140"/>
      <c r="M19" s="1131"/>
      <c r="N19" s="1131"/>
      <c r="O19" s="1131"/>
      <c r="P19" s="3166"/>
      <c r="Q19" s="1808"/>
      <c r="R19" s="774"/>
      <c r="S19" s="775"/>
      <c r="T19" s="774"/>
      <c r="U19" s="775"/>
      <c r="V19" s="774"/>
      <c r="W19" s="775"/>
      <c r="X19" s="1811"/>
      <c r="Y19" s="3166"/>
      <c r="Z19" s="1812"/>
      <c r="AA19" s="1809">
        <v>1</v>
      </c>
      <c r="AB19" s="1809">
        <v>1</v>
      </c>
      <c r="AC19" s="1809">
        <v>1</v>
      </c>
    </row>
    <row r="20" spans="1:29" ht="55.2">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6"/>
      <c r="Q20" s="1808" t="str">
        <f>B20</f>
        <v>自然及人文环境</v>
      </c>
      <c r="R20" s="774" t="s">
        <v>17</v>
      </c>
      <c r="S20" s="775">
        <f>F20</f>
        <v>100</v>
      </c>
      <c r="T20" s="774" t="s">
        <v>17</v>
      </c>
      <c r="U20" s="775">
        <f>H20</f>
        <v>100</v>
      </c>
      <c r="V20" s="774" t="s">
        <v>17</v>
      </c>
      <c r="W20" s="775">
        <f>J20</f>
        <v>100</v>
      </c>
      <c r="X20" s="1811"/>
      <c r="Y20" s="3166"/>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166"/>
      <c r="Q21" s="1808"/>
      <c r="R21" s="774"/>
      <c r="S21" s="775"/>
      <c r="T21" s="774"/>
      <c r="U21" s="775"/>
      <c r="V21" s="774"/>
      <c r="W21" s="775"/>
      <c r="X21" s="1811"/>
      <c r="Y21" s="3166"/>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6"/>
      <c r="Q22" s="1808" t="str">
        <f>B22</f>
        <v>楼层</v>
      </c>
      <c r="R22" s="774" t="s">
        <v>17</v>
      </c>
      <c r="S22" s="775">
        <f>F22</f>
        <v>100</v>
      </c>
      <c r="T22" s="774" t="s">
        <v>17</v>
      </c>
      <c r="U22" s="775">
        <f>H22</f>
        <v>100</v>
      </c>
      <c r="V22" s="774" t="s">
        <v>17</v>
      </c>
      <c r="W22" s="775">
        <f>J22</f>
        <v>100</v>
      </c>
      <c r="X22" s="1811"/>
      <c r="Y22" s="3166"/>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6"/>
      <c r="Q23" s="1808">
        <f>B23</f>
        <v>111</v>
      </c>
      <c r="R23" s="774" t="s">
        <v>17</v>
      </c>
      <c r="S23" s="775">
        <f>F23</f>
        <v>100</v>
      </c>
      <c r="T23" s="774" t="s">
        <v>17</v>
      </c>
      <c r="U23" s="775">
        <f>H23</f>
        <v>100</v>
      </c>
      <c r="V23" s="774" t="s">
        <v>17</v>
      </c>
      <c r="W23" s="775">
        <f>J23</f>
        <v>100</v>
      </c>
      <c r="X23" s="1811"/>
      <c r="Y23" s="3166"/>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6"/>
      <c r="Q24" s="1808">
        <f t="shared" ref="Q24:Q36" si="11">B24</f>
        <v>111</v>
      </c>
      <c r="R24" s="774" t="s">
        <v>17</v>
      </c>
      <c r="S24" s="775">
        <f>F24</f>
        <v>100</v>
      </c>
      <c r="T24" s="774" t="s">
        <v>17</v>
      </c>
      <c r="U24" s="775">
        <f>H24</f>
        <v>100</v>
      </c>
      <c r="V24" s="774" t="s">
        <v>17</v>
      </c>
      <c r="W24" s="775">
        <f>J24</f>
        <v>100</v>
      </c>
      <c r="X24" s="1811"/>
      <c r="Y24" s="3166"/>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6"/>
      <c r="Q25" s="1793">
        <f t="shared" si="11"/>
        <v>111</v>
      </c>
      <c r="R25" s="770" t="s">
        <v>17</v>
      </c>
      <c r="S25" s="771">
        <f>F25</f>
        <v>100</v>
      </c>
      <c r="T25" s="770" t="s">
        <v>17</v>
      </c>
      <c r="U25" s="771">
        <f>H25</f>
        <v>100</v>
      </c>
      <c r="V25" s="770" t="s">
        <v>17</v>
      </c>
      <c r="W25" s="771">
        <f>J25</f>
        <v>100</v>
      </c>
      <c r="X25" s="772"/>
      <c r="Y25" s="3166"/>
      <c r="Z25" s="55">
        <f>Q25</f>
        <v>111</v>
      </c>
      <c r="AA25" s="1809">
        <f>D25/F25</f>
        <v>1</v>
      </c>
      <c r="AB25" s="1809">
        <f>D25/H25</f>
        <v>1</v>
      </c>
      <c r="AC25" s="1809">
        <f>D25/J25</f>
        <v>1</v>
      </c>
    </row>
    <row r="26" spans="1:29" ht="30">
      <c r="A26" s="652" t="s">
        <v>2564</v>
      </c>
      <c r="B26" s="70" t="s">
        <v>2713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7" t="s">
        <v>2566</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68"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8"/>
      <c r="Q27" s="776" t="str">
        <f t="shared" si="11"/>
        <v>项目停车位配比</v>
      </c>
      <c r="R27" s="777" t="s">
        <v>17</v>
      </c>
      <c r="S27" s="778">
        <f t="shared" si="12"/>
        <v>100</v>
      </c>
      <c r="T27" s="777" t="s">
        <v>17</v>
      </c>
      <c r="U27" s="778">
        <f t="shared" si="13"/>
        <v>100</v>
      </c>
      <c r="V27" s="777" t="s">
        <v>17</v>
      </c>
      <c r="W27" s="778">
        <f t="shared" si="14"/>
        <v>100</v>
      </c>
      <c r="X27" s="779"/>
      <c r="Y27" s="3168"/>
      <c r="Z27" s="780"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8"/>
      <c r="Q28" s="1808" t="str">
        <f t="shared" si="11"/>
        <v>公共部分装修</v>
      </c>
      <c r="R28" s="774" t="s">
        <v>17</v>
      </c>
      <c r="S28" s="775">
        <f t="shared" si="12"/>
        <v>100</v>
      </c>
      <c r="T28" s="774" t="s">
        <v>17</v>
      </c>
      <c r="U28" s="775">
        <f t="shared" si="13"/>
        <v>100</v>
      </c>
      <c r="V28" s="774" t="s">
        <v>17</v>
      </c>
      <c r="W28" s="775">
        <f t="shared" si="14"/>
        <v>100</v>
      </c>
      <c r="X28" s="1811"/>
      <c r="Y28" s="3168"/>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8"/>
      <c r="Q29" s="1808" t="str">
        <f t="shared" si="11"/>
        <v>成新率</v>
      </c>
      <c r="R29" s="774" t="s">
        <v>17</v>
      </c>
      <c r="S29" s="775" t="e">
        <f t="shared" si="12"/>
        <v>#N/A</v>
      </c>
      <c r="T29" s="774" t="s">
        <v>17</v>
      </c>
      <c r="U29" s="775" t="e">
        <f t="shared" si="13"/>
        <v>#N/A</v>
      </c>
      <c r="V29" s="774" t="s">
        <v>17</v>
      </c>
      <c r="W29" s="775" t="e">
        <f t="shared" si="14"/>
        <v>#N/A</v>
      </c>
      <c r="X29" s="1811"/>
      <c r="Y29" s="3168"/>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8"/>
      <c r="Q30" s="1808" t="str">
        <f t="shared" si="11"/>
        <v>物业等级</v>
      </c>
      <c r="R30" s="774" t="s">
        <v>17</v>
      </c>
      <c r="S30" s="775">
        <f t="shared" si="12"/>
        <v>100</v>
      </c>
      <c r="T30" s="774" t="s">
        <v>17</v>
      </c>
      <c r="U30" s="775">
        <f t="shared" si="13"/>
        <v>100</v>
      </c>
      <c r="V30" s="774" t="s">
        <v>17</v>
      </c>
      <c r="W30" s="775">
        <f t="shared" si="14"/>
        <v>100</v>
      </c>
      <c r="X30" s="1811"/>
      <c r="Y30" s="3168"/>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8"/>
      <c r="Q31" s="1793" t="str">
        <f t="shared" si="11"/>
        <v>停车位面积</v>
      </c>
      <c r="R31" s="770" t="s">
        <v>17</v>
      </c>
      <c r="S31" s="771" t="e">
        <f t="shared" si="12"/>
        <v>#N/A</v>
      </c>
      <c r="T31" s="770" t="s">
        <v>17</v>
      </c>
      <c r="U31" s="771" t="e">
        <f t="shared" si="13"/>
        <v>#N/A</v>
      </c>
      <c r="V31" s="770" t="s">
        <v>17</v>
      </c>
      <c r="W31" s="771" t="e">
        <f t="shared" si="14"/>
        <v>#N/A</v>
      </c>
      <c r="X31" s="772"/>
      <c r="Y31" s="316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8" t="s">
        <v>2566</v>
      </c>
      <c r="Q32" s="1808" t="str">
        <f t="shared" si="11"/>
        <v>车位类型</v>
      </c>
      <c r="R32" s="774" t="s">
        <v>17</v>
      </c>
      <c r="S32" s="775">
        <f t="shared" si="12"/>
        <v>100</v>
      </c>
      <c r="T32" s="774" t="s">
        <v>17</v>
      </c>
      <c r="U32" s="775">
        <f t="shared" si="13"/>
        <v>100</v>
      </c>
      <c r="V32" s="774" t="s">
        <v>17</v>
      </c>
      <c r="W32" s="775">
        <f t="shared" si="14"/>
        <v>100</v>
      </c>
      <c r="X32" s="1811"/>
      <c r="Y32" s="3168"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8"/>
      <c r="Q33" s="1808" t="str">
        <f t="shared" si="11"/>
        <v>是否直接入户</v>
      </c>
      <c r="R33" s="774" t="s">
        <v>17</v>
      </c>
      <c r="S33" s="775">
        <f t="shared" si="12"/>
        <v>100</v>
      </c>
      <c r="T33" s="774" t="s">
        <v>17</v>
      </c>
      <c r="U33" s="775">
        <f t="shared" si="13"/>
        <v>100</v>
      </c>
      <c r="V33" s="774" t="s">
        <v>17</v>
      </c>
      <c r="W33" s="775">
        <f t="shared" si="14"/>
        <v>100</v>
      </c>
      <c r="X33" s="1811"/>
      <c r="Y33" s="316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8"/>
      <c r="Q34" s="1808">
        <f t="shared" si="11"/>
        <v>111</v>
      </c>
      <c r="R34" s="774" t="s">
        <v>17</v>
      </c>
      <c r="S34" s="775">
        <f t="shared" si="12"/>
        <v>100</v>
      </c>
      <c r="T34" s="774" t="s">
        <v>17</v>
      </c>
      <c r="U34" s="775">
        <f t="shared" si="13"/>
        <v>100</v>
      </c>
      <c r="V34" s="774" t="s">
        <v>17</v>
      </c>
      <c r="W34" s="775">
        <f t="shared" si="14"/>
        <v>100</v>
      </c>
      <c r="X34" s="1811"/>
      <c r="Y34" s="316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8"/>
      <c r="Q35" s="776">
        <f t="shared" si="11"/>
        <v>111</v>
      </c>
      <c r="R35" s="777" t="s">
        <v>17</v>
      </c>
      <c r="S35" s="778">
        <f t="shared" si="12"/>
        <v>100</v>
      </c>
      <c r="T35" s="777" t="s">
        <v>17</v>
      </c>
      <c r="U35" s="778">
        <f t="shared" si="13"/>
        <v>100</v>
      </c>
      <c r="V35" s="777" t="s">
        <v>17</v>
      </c>
      <c r="W35" s="778">
        <f t="shared" si="14"/>
        <v>100</v>
      </c>
      <c r="X35" s="779"/>
      <c r="Y35" s="3168"/>
      <c r="Z35" s="780">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8"/>
      <c r="Q36" s="1808">
        <f t="shared" si="11"/>
        <v>111</v>
      </c>
      <c r="R36" s="774" t="s">
        <v>17</v>
      </c>
      <c r="S36" s="775">
        <f t="shared" si="12"/>
        <v>100</v>
      </c>
      <c r="T36" s="774" t="s">
        <v>17</v>
      </c>
      <c r="U36" s="775">
        <f t="shared" si="13"/>
        <v>100</v>
      </c>
      <c r="V36" s="774" t="s">
        <v>17</v>
      </c>
      <c r="W36" s="775">
        <f t="shared" si="14"/>
        <v>100</v>
      </c>
      <c r="X36" s="1811"/>
      <c r="Y36" s="3168"/>
      <c r="Z36" s="1812">
        <f t="shared" si="15"/>
        <v>111</v>
      </c>
      <c r="AA36" s="1809">
        <f t="shared" si="3"/>
        <v>1</v>
      </c>
      <c r="AB36" s="1809">
        <f t="shared" si="4"/>
        <v>1</v>
      </c>
      <c r="AC36" s="1809">
        <f t="shared" si="5"/>
        <v>1</v>
      </c>
    </row>
    <row r="37" spans="1:29" ht="14.4">
      <c r="A37" s="479" t="s">
        <v>2721</v>
      </c>
      <c r="B37" s="2689" t="s">
        <v>2722</v>
      </c>
      <c r="C37" s="1406" t="s">
        <v>1</v>
      </c>
      <c r="D37" s="1407"/>
      <c r="E37" s="1408"/>
      <c r="F37" s="1409"/>
      <c r="G37" s="1410"/>
      <c r="H37" s="1411"/>
      <c r="I37" s="1408"/>
      <c r="J37" s="1411"/>
      <c r="K37" s="619"/>
      <c r="L37" s="1143"/>
      <c r="M37" s="1144"/>
      <c r="N37" s="1131"/>
      <c r="O37" s="1144"/>
      <c r="P37" s="3163" t="str">
        <f>A37</f>
        <v>成交单价</v>
      </c>
      <c r="Q37" s="3163"/>
      <c r="R37" s="3232">
        <f>E37</f>
        <v>0</v>
      </c>
      <c r="S37" s="3232"/>
      <c r="T37" s="3232">
        <f>G37</f>
        <v>0</v>
      </c>
      <c r="U37" s="3232"/>
      <c r="V37" s="3232">
        <f>I37</f>
        <v>0</v>
      </c>
      <c r="W37" s="3232"/>
      <c r="X37" s="759"/>
      <c r="Y37" s="781"/>
      <c r="Z37" s="759"/>
      <c r="AA37" s="759"/>
      <c r="AB37" s="759"/>
      <c r="AC37" s="759"/>
    </row>
    <row r="38" spans="1:29" ht="1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63" t="str">
        <f>A38</f>
        <v>比较价值（元/平方米）</v>
      </c>
      <c r="Q38" s="3163"/>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 thickBot="1">
      <c r="A39" s="492" t="s">
        <v>2724</v>
      </c>
      <c r="B39" s="493"/>
      <c r="C39" s="1416" t="e">
        <f>R39</f>
        <v>#DIV/0!</v>
      </c>
      <c r="D39" s="1416"/>
      <c r="E39" s="1416"/>
      <c r="F39" s="1416"/>
      <c r="G39" s="1416"/>
      <c r="H39" s="1416"/>
      <c r="I39" s="1416"/>
      <c r="J39" s="1416"/>
      <c r="K39" s="621"/>
      <c r="L39" s="1143"/>
      <c r="M39" s="1144"/>
      <c r="N39" s="1144"/>
      <c r="O39" s="1144"/>
      <c r="P39" s="3157" t="str">
        <f>A39</f>
        <v>估价对象XX用房的比较价值（楼面单价，元/平方米）</v>
      </c>
      <c r="Q39" s="3158"/>
      <c r="R39" s="3231" t="e">
        <f>IF(F1="售价",ROUND(AVERAGE(R38:V38),0),ROUND(AVERAGE(R38:V38),1))</f>
        <v>#DIV/0!</v>
      </c>
      <c r="S39" s="3231"/>
      <c r="T39" s="3231"/>
      <c r="U39" s="3231"/>
      <c r="V39" s="3231"/>
      <c r="W39" s="323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2729</v>
      </c>
      <c r="B48" s="506"/>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2708</v>
      </c>
      <c r="B1" s="1617"/>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IF(C2="——",ROUND(C37*D3/10000,0),ROUND(C37*D3/10000,0)-D2)</f>
        <v>#DIV/0!</v>
      </c>
      <c r="C2" s="2583"/>
      <c r="D2" s="1124" t="e">
        <f ca="1">SUMIF(INDIRECT("'"&amp;F2&amp;"'"&amp;"!A:A"),"承租人权益价值",INDIRECT("'"&amp;F2&amp;"'"&amp;"!c:c"))</f>
        <v>#REF!</v>
      </c>
      <c r="E2" s="2584" t="s">
        <v>2332</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60" t="s">
        <v>2647</v>
      </c>
      <c r="D4" s="3173"/>
      <c r="E4" s="3174" t="s">
        <v>2648</v>
      </c>
      <c r="F4" s="3175"/>
      <c r="G4" s="3160" t="s">
        <v>2649</v>
      </c>
      <c r="H4" s="3173"/>
      <c r="I4" s="3160" t="s">
        <v>2650</v>
      </c>
      <c r="J4" s="3173"/>
      <c r="K4" s="610" t="s">
        <v>2651</v>
      </c>
      <c r="L4" s="1130"/>
      <c r="M4" s="1131"/>
      <c r="N4" s="1131"/>
      <c r="O4" s="1131"/>
      <c r="P4" s="3176" t="s">
        <v>2652</v>
      </c>
      <c r="Q4" s="3177"/>
      <c r="R4" s="3182" t="s">
        <v>2648</v>
      </c>
      <c r="S4" s="3183"/>
      <c r="T4" s="3182" t="s">
        <v>2649</v>
      </c>
      <c r="U4" s="3183"/>
      <c r="V4" s="3169" t="s">
        <v>2650</v>
      </c>
      <c r="W4" s="3169"/>
      <c r="X4" s="1811"/>
      <c r="Y4" s="3182" t="s">
        <v>2652</v>
      </c>
      <c r="Z4" s="3183"/>
      <c r="AA4" s="3170" t="s">
        <v>2648</v>
      </c>
      <c r="AB4" s="3171" t="s">
        <v>2649</v>
      </c>
      <c r="AC4" s="3170" t="s">
        <v>2650</v>
      </c>
    </row>
    <row r="5" spans="1:29">
      <c r="A5" s="404"/>
      <c r="B5" s="405"/>
      <c r="C5" s="3190" t="s">
        <v>2543</v>
      </c>
      <c r="D5" s="3191"/>
      <c r="E5" s="3199" t="s">
        <v>2544</v>
      </c>
      <c r="F5" s="3200"/>
      <c r="G5" s="3190" t="s">
        <v>2545</v>
      </c>
      <c r="H5" s="3191"/>
      <c r="I5" s="3190" t="s">
        <v>2546</v>
      </c>
      <c r="J5" s="3191"/>
      <c r="K5" s="610"/>
      <c r="L5" s="1130"/>
      <c r="M5" s="1131"/>
      <c r="N5" s="1131"/>
      <c r="O5" s="1131"/>
      <c r="P5" s="3178"/>
      <c r="Q5" s="3179"/>
      <c r="R5" s="3184"/>
      <c r="S5" s="3185"/>
      <c r="T5" s="3184"/>
      <c r="U5" s="3185"/>
      <c r="V5" s="3169"/>
      <c r="W5" s="3169"/>
      <c r="X5" s="1811"/>
      <c r="Y5" s="3184"/>
      <c r="Z5" s="3185"/>
      <c r="AA5" s="3171"/>
      <c r="AB5" s="3171"/>
      <c r="AC5" s="3171"/>
    </row>
    <row r="6" spans="1:29" ht="15" thickBot="1">
      <c r="A6" s="406"/>
      <c r="B6" s="407"/>
      <c r="C6" s="3188" t="s">
        <v>2547</v>
      </c>
      <c r="D6" s="3189"/>
      <c r="E6" s="3197" t="s">
        <v>2547</v>
      </c>
      <c r="F6" s="3198"/>
      <c r="G6" s="3188" t="s">
        <v>2547</v>
      </c>
      <c r="H6" s="3189"/>
      <c r="I6" s="3188" t="s">
        <v>2547</v>
      </c>
      <c r="J6" s="3189"/>
      <c r="K6" s="610" t="s">
        <v>2548</v>
      </c>
      <c r="L6" s="1130"/>
      <c r="M6" s="1131"/>
      <c r="N6" s="1131"/>
      <c r="O6" s="1131"/>
      <c r="P6" s="3180"/>
      <c r="Q6" s="3181"/>
      <c r="R6" s="3184"/>
      <c r="S6" s="3185"/>
      <c r="T6" s="3186"/>
      <c r="U6" s="3187"/>
      <c r="V6" s="3169"/>
      <c r="W6" s="3169"/>
      <c r="X6" s="1811"/>
      <c r="Y6" s="3186"/>
      <c r="Z6" s="3187"/>
      <c r="AA6" s="3172"/>
      <c r="AB6" s="3172"/>
      <c r="AC6" s="3172"/>
    </row>
    <row r="7" spans="1:29" s="117" customFormat="1" ht="15" thickBot="1">
      <c r="A7" s="408" t="s">
        <v>2549</v>
      </c>
      <c r="B7" s="409"/>
      <c r="C7" s="410">
        <f>'数据-取费表'!B2</f>
        <v>43342</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2" t="s">
        <v>2553</v>
      </c>
      <c r="Q8" s="3193"/>
      <c r="R8" s="770" t="s">
        <v>17</v>
      </c>
      <c r="S8" s="771">
        <f t="shared" si="0"/>
        <v>0</v>
      </c>
      <c r="T8" s="770" t="s">
        <v>17</v>
      </c>
      <c r="U8" s="771">
        <f t="shared" si="1"/>
        <v>0</v>
      </c>
      <c r="V8" s="770" t="s">
        <v>17</v>
      </c>
      <c r="W8" s="771">
        <f t="shared" si="2"/>
        <v>0</v>
      </c>
      <c r="X8" s="772"/>
      <c r="Y8" s="3192" t="s">
        <v>2553</v>
      </c>
      <c r="Z8" s="3193"/>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3" t="s">
        <v>2556</v>
      </c>
      <c r="Q9" s="1793" t="str">
        <f t="shared" ref="Q9:Q14" si="6">B9</f>
        <v>用途</v>
      </c>
      <c r="R9" s="770" t="s">
        <v>17</v>
      </c>
      <c r="S9" s="771">
        <f t="shared" si="0"/>
        <v>100</v>
      </c>
      <c r="T9" s="770" t="s">
        <v>17</v>
      </c>
      <c r="U9" s="771">
        <f t="shared" si="1"/>
        <v>100</v>
      </c>
      <c r="V9" s="770" t="s">
        <v>17</v>
      </c>
      <c r="W9" s="771">
        <f t="shared" si="2"/>
        <v>100</v>
      </c>
      <c r="X9" s="772"/>
      <c r="Y9" s="3014"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3"/>
      <c r="Q10" s="1793"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3"/>
      <c r="Q11" s="1793">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3"/>
      <c r="Q12" s="1793">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6" thickBot="1">
      <c r="A13" s="428"/>
      <c r="B13" s="2596">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63"/>
      <c r="Q13" s="1793">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96.6">
      <c r="A14" s="440" t="s">
        <v>2560</v>
      </c>
      <c r="B14" s="69" t="s">
        <v>2710</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5" t="s">
        <v>2561</v>
      </c>
      <c r="Q14" s="1808" t="str">
        <f t="shared" si="6"/>
        <v>交通便捷度</v>
      </c>
      <c r="R14" s="774" t="s">
        <v>17</v>
      </c>
      <c r="S14" s="775">
        <f t="shared" si="0"/>
        <v>100</v>
      </c>
      <c r="T14" s="774" t="s">
        <v>17</v>
      </c>
      <c r="U14" s="775">
        <f t="shared" si="1"/>
        <v>100</v>
      </c>
      <c r="V14" s="774" t="s">
        <v>17</v>
      </c>
      <c r="W14" s="775">
        <f t="shared" si="2"/>
        <v>100</v>
      </c>
      <c r="X14" s="1811"/>
      <c r="Y14" s="3165"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166"/>
      <c r="Q15" s="1808"/>
      <c r="R15" s="774"/>
      <c r="S15" s="775"/>
      <c r="T15" s="774"/>
      <c r="U15" s="775"/>
      <c r="V15" s="774"/>
      <c r="W15" s="775"/>
      <c r="X15" s="1811"/>
      <c r="Y15" s="3166"/>
      <c r="Z15" s="1812"/>
      <c r="AA15" s="1809">
        <v>1</v>
      </c>
      <c r="AB15" s="1809">
        <v>1</v>
      </c>
      <c r="AC15" s="1809">
        <v>1</v>
      </c>
    </row>
    <row r="16" spans="1:29" ht="41.4">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6"/>
      <c r="Q16" s="1808" t="str">
        <f>B16</f>
        <v>公共配套设施</v>
      </c>
      <c r="R16" s="774" t="s">
        <v>17</v>
      </c>
      <c r="S16" s="775">
        <f>F16</f>
        <v>100</v>
      </c>
      <c r="T16" s="774" t="s">
        <v>17</v>
      </c>
      <c r="U16" s="775">
        <f>H16</f>
        <v>100</v>
      </c>
      <c r="V16" s="774" t="s">
        <v>17</v>
      </c>
      <c r="W16" s="775">
        <f>J16</f>
        <v>100</v>
      </c>
      <c r="X16" s="1811"/>
      <c r="Y16" s="3166"/>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40"/>
      <c r="M17" s="1131"/>
      <c r="N17" s="1131"/>
      <c r="O17" s="1139"/>
      <c r="P17" s="3166"/>
      <c r="Q17" s="1808"/>
      <c r="R17" s="774"/>
      <c r="S17" s="775"/>
      <c r="T17" s="774"/>
      <c r="U17" s="775"/>
      <c r="V17" s="774"/>
      <c r="W17" s="775"/>
      <c r="X17" s="1811"/>
      <c r="Y17" s="3166"/>
      <c r="Z17" s="1812"/>
      <c r="AA17" s="1809">
        <v>1</v>
      </c>
      <c r="AB17" s="1809">
        <v>1</v>
      </c>
      <c r="AC17" s="1809">
        <v>1</v>
      </c>
    </row>
    <row r="18" spans="1:29" ht="41.4">
      <c r="A18" s="428"/>
      <c r="B18" s="1384"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6"/>
      <c r="Q18" s="1808" t="str">
        <f>B18</f>
        <v>基础设施水平</v>
      </c>
      <c r="R18" s="774" t="s">
        <v>17</v>
      </c>
      <c r="S18" s="775">
        <f>F18</f>
        <v>100</v>
      </c>
      <c r="T18" s="774" t="s">
        <v>17</v>
      </c>
      <c r="U18" s="775">
        <f>H18</f>
        <v>100</v>
      </c>
      <c r="V18" s="774" t="s">
        <v>17</v>
      </c>
      <c r="W18" s="775">
        <f>J18</f>
        <v>100</v>
      </c>
      <c r="X18" s="1811"/>
      <c r="Y18" s="3166"/>
      <c r="Z18" s="1812" t="str">
        <f>Q18</f>
        <v>基础设施水平</v>
      </c>
      <c r="AA18" s="1809">
        <f t="shared" ref="AA18" si="8">D18/F18</f>
        <v>1</v>
      </c>
      <c r="AB18" s="1809">
        <f t="shared" ref="AB18" si="9">D18/H18</f>
        <v>1</v>
      </c>
      <c r="AC18" s="1809">
        <f t="shared" ref="AC18" si="10">D18/J18</f>
        <v>1</v>
      </c>
    </row>
    <row r="19" spans="1:29" ht="15">
      <c r="A19" s="428"/>
      <c r="B19" s="1384"/>
      <c r="C19" s="2604"/>
      <c r="D19" s="450"/>
      <c r="E19" s="2604"/>
      <c r="F19" s="453"/>
      <c r="G19" s="2604"/>
      <c r="H19" s="448"/>
      <c r="I19" s="447"/>
      <c r="J19" s="448"/>
      <c r="K19" s="1383"/>
      <c r="L19" s="1140"/>
      <c r="M19" s="1131"/>
      <c r="N19" s="1131"/>
      <c r="O19" s="1139"/>
      <c r="P19" s="3166"/>
      <c r="Q19" s="1808"/>
      <c r="R19" s="774"/>
      <c r="S19" s="775"/>
      <c r="T19" s="774"/>
      <c r="U19" s="775"/>
      <c r="V19" s="774"/>
      <c r="W19" s="775"/>
      <c r="X19" s="1811"/>
      <c r="Y19" s="3166"/>
      <c r="Z19" s="1812"/>
      <c r="AA19" s="1809">
        <v>1</v>
      </c>
      <c r="AB19" s="1809">
        <v>1</v>
      </c>
      <c r="AC19" s="1809">
        <v>1</v>
      </c>
    </row>
    <row r="20" spans="1:29" ht="55.2">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6"/>
      <c r="Q20" s="1808" t="str">
        <f>B20</f>
        <v>自然及人文环境</v>
      </c>
      <c r="R20" s="774" t="s">
        <v>17</v>
      </c>
      <c r="S20" s="775">
        <f>F20</f>
        <v>100</v>
      </c>
      <c r="T20" s="774" t="s">
        <v>17</v>
      </c>
      <c r="U20" s="775">
        <f>H20</f>
        <v>100</v>
      </c>
      <c r="V20" s="774" t="s">
        <v>17</v>
      </c>
      <c r="W20" s="775">
        <f>J20</f>
        <v>100</v>
      </c>
      <c r="X20" s="1811"/>
      <c r="Y20" s="316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166"/>
      <c r="Q21" s="1808"/>
      <c r="R21" s="774"/>
      <c r="S21" s="775"/>
      <c r="T21" s="774"/>
      <c r="U21" s="775"/>
      <c r="V21" s="774"/>
      <c r="W21" s="775"/>
      <c r="X21" s="1811"/>
      <c r="Y21" s="3166"/>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6"/>
      <c r="Q22" s="1808" t="str">
        <f>B22</f>
        <v>楼层</v>
      </c>
      <c r="R22" s="774" t="s">
        <v>17</v>
      </c>
      <c r="S22" s="775">
        <f>F22</f>
        <v>100</v>
      </c>
      <c r="T22" s="774" t="s">
        <v>17</v>
      </c>
      <c r="U22" s="775">
        <f>H22</f>
        <v>100</v>
      </c>
      <c r="V22" s="774" t="s">
        <v>17</v>
      </c>
      <c r="W22" s="775">
        <f>J22</f>
        <v>100</v>
      </c>
      <c r="X22" s="1811"/>
      <c r="Y22" s="3166"/>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6"/>
      <c r="Q23" s="1808">
        <f>B23</f>
        <v>111</v>
      </c>
      <c r="R23" s="774" t="s">
        <v>17</v>
      </c>
      <c r="S23" s="775">
        <f>F23</f>
        <v>100</v>
      </c>
      <c r="T23" s="774" t="s">
        <v>17</v>
      </c>
      <c r="U23" s="775">
        <f>H23</f>
        <v>100</v>
      </c>
      <c r="V23" s="774" t="s">
        <v>17</v>
      </c>
      <c r="W23" s="775">
        <f>J23</f>
        <v>100</v>
      </c>
      <c r="X23" s="1811"/>
      <c r="Y23" s="3166"/>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6"/>
      <c r="Q24" s="1808">
        <f t="shared" ref="Q24:Q34" si="11">B24</f>
        <v>111</v>
      </c>
      <c r="R24" s="774" t="s">
        <v>17</v>
      </c>
      <c r="S24" s="775">
        <f>F24</f>
        <v>100</v>
      </c>
      <c r="T24" s="774" t="s">
        <v>17</v>
      </c>
      <c r="U24" s="775">
        <f>H24</f>
        <v>100</v>
      </c>
      <c r="V24" s="774" t="s">
        <v>17</v>
      </c>
      <c r="W24" s="775">
        <f>J24</f>
        <v>100</v>
      </c>
      <c r="X24" s="1811"/>
      <c r="Y24" s="3166"/>
      <c r="Z24" s="1812">
        <f>Q24</f>
        <v>111</v>
      </c>
      <c r="AA24" s="1809">
        <f t="shared" si="3"/>
        <v>1</v>
      </c>
      <c r="AB24" s="1809">
        <f t="shared" si="4"/>
        <v>1</v>
      </c>
      <c r="AC24" s="1809">
        <f t="shared" si="5"/>
        <v>1</v>
      </c>
    </row>
    <row r="25" spans="1:29" s="117" customFormat="1" ht="15.6" thickBot="1">
      <c r="A25" s="431"/>
      <c r="B25" s="2596">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166"/>
      <c r="Q25" s="1793">
        <f t="shared" si="11"/>
        <v>111</v>
      </c>
      <c r="R25" s="770" t="s">
        <v>17</v>
      </c>
      <c r="S25" s="771">
        <f>F25</f>
        <v>100</v>
      </c>
      <c r="T25" s="770" t="s">
        <v>17</v>
      </c>
      <c r="U25" s="771">
        <f>H25</f>
        <v>100</v>
      </c>
      <c r="V25" s="770" t="s">
        <v>17</v>
      </c>
      <c r="W25" s="771">
        <f>J25</f>
        <v>100</v>
      </c>
      <c r="X25" s="772"/>
      <c r="Y25" s="3166"/>
      <c r="Z25" s="55">
        <f>Q25</f>
        <v>111</v>
      </c>
      <c r="AA25" s="1809">
        <f>D25/F25</f>
        <v>1</v>
      </c>
      <c r="AB25" s="1809">
        <f>D25/H25</f>
        <v>1</v>
      </c>
      <c r="AC25" s="1809">
        <f>D25/J25</f>
        <v>1</v>
      </c>
    </row>
    <row r="26" spans="1:29" ht="30">
      <c r="A26" s="466" t="s">
        <v>2564</v>
      </c>
      <c r="B26" s="71" t="s">
        <v>2715</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167" t="s">
        <v>2566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68"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8"/>
      <c r="Q27" s="776" t="str">
        <f t="shared" si="11"/>
        <v>成新率</v>
      </c>
      <c r="R27" s="777" t="s">
        <v>17</v>
      </c>
      <c r="S27" s="778" t="e">
        <f t="shared" si="12"/>
        <v>#N/A</v>
      </c>
      <c r="T27" s="777" t="s">
        <v>17</v>
      </c>
      <c r="U27" s="778" t="e">
        <f t="shared" si="13"/>
        <v>#N/A</v>
      </c>
      <c r="V27" s="777" t="s">
        <v>17</v>
      </c>
      <c r="W27" s="778" t="e">
        <f t="shared" si="14"/>
        <v>#N/A</v>
      </c>
      <c r="X27" s="779"/>
      <c r="Y27" s="3168"/>
      <c r="Z27" s="780"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8"/>
      <c r="Q28" s="1808" t="str">
        <f t="shared" si="11"/>
        <v>物业等级</v>
      </c>
      <c r="R28" s="774" t="s">
        <v>17</v>
      </c>
      <c r="S28" s="775">
        <f t="shared" si="12"/>
        <v>100</v>
      </c>
      <c r="T28" s="774" t="s">
        <v>17</v>
      </c>
      <c r="U28" s="775">
        <f t="shared" si="13"/>
        <v>100</v>
      </c>
      <c r="V28" s="774" t="s">
        <v>17</v>
      </c>
      <c r="W28" s="775">
        <f t="shared" si="14"/>
        <v>100</v>
      </c>
      <c r="X28" s="1811"/>
      <c r="Y28" s="3168"/>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8"/>
      <c r="Q29" s="1808" t="str">
        <f t="shared" si="11"/>
        <v>有无电梯</v>
      </c>
      <c r="R29" s="774" t="s">
        <v>17</v>
      </c>
      <c r="S29" s="775">
        <f t="shared" si="12"/>
        <v>100</v>
      </c>
      <c r="T29" s="774" t="s">
        <v>17</v>
      </c>
      <c r="U29" s="775">
        <f t="shared" si="13"/>
        <v>100</v>
      </c>
      <c r="V29" s="774" t="s">
        <v>17</v>
      </c>
      <c r="W29" s="775">
        <f t="shared" si="14"/>
        <v>100</v>
      </c>
      <c r="X29" s="1811"/>
      <c r="Y29" s="3168"/>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8"/>
      <c r="Q30" s="1808" t="str">
        <f t="shared" si="11"/>
        <v>建筑面积</v>
      </c>
      <c r="R30" s="774" t="s">
        <v>17</v>
      </c>
      <c r="S30" s="775" t="e">
        <f t="shared" si="12"/>
        <v>#N/A</v>
      </c>
      <c r="T30" s="774" t="s">
        <v>17</v>
      </c>
      <c r="U30" s="775" t="e">
        <f t="shared" si="13"/>
        <v>#N/A</v>
      </c>
      <c r="V30" s="774" t="s">
        <v>17</v>
      </c>
      <c r="W30" s="775" t="e">
        <f t="shared" si="14"/>
        <v>#N/A</v>
      </c>
      <c r="X30" s="1811"/>
      <c r="Y30" s="3168"/>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8"/>
      <c r="Q31" s="1793" t="str">
        <f t="shared" si="11"/>
        <v>是否封闭</v>
      </c>
      <c r="R31" s="770" t="s">
        <v>17</v>
      </c>
      <c r="S31" s="771">
        <f t="shared" si="12"/>
        <v>100</v>
      </c>
      <c r="T31" s="770" t="s">
        <v>17</v>
      </c>
      <c r="U31" s="771">
        <f t="shared" si="13"/>
        <v>100</v>
      </c>
      <c r="V31" s="770" t="s">
        <v>17</v>
      </c>
      <c r="W31" s="771">
        <f t="shared" si="14"/>
        <v>100</v>
      </c>
      <c r="X31" s="772"/>
      <c r="Y31" s="3168"/>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8" t="s">
        <v>2566</v>
      </c>
      <c r="Q32" s="1808">
        <f t="shared" si="11"/>
        <v>111</v>
      </c>
      <c r="R32" s="774" t="s">
        <v>17</v>
      </c>
      <c r="S32" s="775">
        <f t="shared" si="12"/>
        <v>100</v>
      </c>
      <c r="T32" s="774" t="s">
        <v>17</v>
      </c>
      <c r="U32" s="775">
        <f t="shared" si="13"/>
        <v>100</v>
      </c>
      <c r="V32" s="774" t="s">
        <v>17</v>
      </c>
      <c r="W32" s="775">
        <f t="shared" si="14"/>
        <v>100</v>
      </c>
      <c r="X32" s="1811"/>
      <c r="Y32" s="3168" t="s">
        <v>2566</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8"/>
      <c r="Q33" s="1808">
        <f t="shared" si="11"/>
        <v>111</v>
      </c>
      <c r="R33" s="774" t="s">
        <v>17</v>
      </c>
      <c r="S33" s="775">
        <f t="shared" si="12"/>
        <v>100</v>
      </c>
      <c r="T33" s="774" t="s">
        <v>17</v>
      </c>
      <c r="U33" s="775">
        <f t="shared" si="13"/>
        <v>100</v>
      </c>
      <c r="V33" s="774" t="s">
        <v>17</v>
      </c>
      <c r="W33" s="775">
        <f t="shared" si="14"/>
        <v>100</v>
      </c>
      <c r="X33" s="1811"/>
      <c r="Y33" s="3168"/>
      <c r="Z33" s="1812">
        <f t="shared" si="15"/>
        <v>111</v>
      </c>
      <c r="AA33" s="1809">
        <f t="shared" si="3"/>
        <v>1</v>
      </c>
      <c r="AB33" s="1809">
        <f t="shared" si="4"/>
        <v>1</v>
      </c>
      <c r="AC33" s="1809">
        <f t="shared" si="5"/>
        <v>1</v>
      </c>
    </row>
    <row r="34" spans="1:29" ht="15.6" thickBot="1">
      <c r="A34" s="478"/>
      <c r="B34" s="2598">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168"/>
      <c r="Q34" s="1808">
        <f t="shared" si="11"/>
        <v>111</v>
      </c>
      <c r="R34" s="774" t="s">
        <v>17</v>
      </c>
      <c r="S34" s="775">
        <f t="shared" si="12"/>
        <v>100</v>
      </c>
      <c r="T34" s="774" t="s">
        <v>17</v>
      </c>
      <c r="U34" s="775">
        <f t="shared" si="13"/>
        <v>100</v>
      </c>
      <c r="V34" s="774" t="s">
        <v>17</v>
      </c>
      <c r="W34" s="775">
        <f t="shared" si="14"/>
        <v>100</v>
      </c>
      <c r="X34" s="1811"/>
      <c r="Y34" s="3168"/>
      <c r="Z34" s="1812">
        <f t="shared" si="15"/>
        <v>111</v>
      </c>
      <c r="AA34" s="1809">
        <f t="shared" si="3"/>
        <v>1</v>
      </c>
      <c r="AB34" s="1809">
        <f t="shared" si="4"/>
        <v>1</v>
      </c>
      <c r="AC34" s="1809">
        <f t="shared" si="5"/>
        <v>1</v>
      </c>
    </row>
    <row r="35" spans="1:29" ht="14.4">
      <c r="A35" s="479" t="s">
        <v>2578</v>
      </c>
      <c r="B35" s="480"/>
      <c r="C35" s="1406" t="s">
        <v>1</v>
      </c>
      <c r="D35" s="1407"/>
      <c r="E35" s="1408"/>
      <c r="F35" s="1409"/>
      <c r="G35" s="1410"/>
      <c r="H35" s="1411"/>
      <c r="I35" s="1408"/>
      <c r="J35" s="1411"/>
      <c r="K35" s="783"/>
      <c r="L35" s="1143"/>
      <c r="M35" s="1144"/>
      <c r="N35" s="1131"/>
      <c r="O35" s="1144"/>
      <c r="P35" s="3163" t="str">
        <f>A35</f>
        <v>成交单价（元/平方米）</v>
      </c>
      <c r="Q35" s="3163"/>
      <c r="R35" s="3232">
        <f>E35</f>
        <v>0</v>
      </c>
      <c r="S35" s="3232"/>
      <c r="T35" s="3232">
        <f>G35</f>
        <v>0</v>
      </c>
      <c r="U35" s="3232"/>
      <c r="V35" s="3232">
        <f>I35</f>
        <v>0</v>
      </c>
      <c r="W35" s="3232"/>
      <c r="X35" s="759"/>
      <c r="Y35" s="781"/>
      <c r="Z35" s="759"/>
      <c r="AA35" s="759"/>
      <c r="AB35" s="759"/>
      <c r="AC35" s="759"/>
    </row>
    <row r="36" spans="1:29" ht="1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63" t="str">
        <f>A36</f>
        <v>比较价值（元/平方米）</v>
      </c>
      <c r="Q36" s="3163"/>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 thickBot="1">
      <c r="A37" s="492" t="s">
        <v>2671</v>
      </c>
      <c r="B37" s="493"/>
      <c r="C37" s="1416" t="e">
        <f>R37</f>
        <v>#DIV/0!</v>
      </c>
      <c r="D37" s="1416"/>
      <c r="E37" s="1416"/>
      <c r="F37" s="1416"/>
      <c r="G37" s="1416"/>
      <c r="H37" s="1416"/>
      <c r="I37" s="1416"/>
      <c r="J37" s="1416"/>
      <c r="K37" s="785"/>
      <c r="L37" s="1143"/>
      <c r="M37" s="1144"/>
      <c r="N37" s="1144"/>
      <c r="O37" s="1144"/>
      <c r="P37" s="3157" t="str">
        <f>A37</f>
        <v>估价对象XX用房的比较价值（楼面单价，元/平方米）</v>
      </c>
      <c r="Q37" s="3158"/>
      <c r="R37" s="3231" t="e">
        <f>IF(F1="售价",ROUND(AVERAGE(R36:V36),0),ROUND(AVERAGE(R36:V36),1))</f>
        <v>#DIV/0!</v>
      </c>
      <c r="S37" s="3231"/>
      <c r="T37" s="3231"/>
      <c r="U37" s="3231"/>
      <c r="V37" s="3231"/>
      <c r="W37" s="323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2589</v>
      </c>
      <c r="B51" s="528" t="s">
        <v>2555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2730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2"/>
  <sheetViews>
    <sheetView topLeftCell="A40" zoomScale="85" zoomScaleNormal="85" workbookViewId="0">
      <selection activeCell="N61" sqref="N61"/>
    </sheetView>
  </sheetViews>
  <sheetFormatPr defaultRowHeight="14.4"/>
  <cols>
    <col min="1" max="1" width="22.77734375" customWidth="1"/>
    <col min="9" max="9" width="18.44140625" customWidth="1"/>
    <col min="12" max="12" width="22.21875" customWidth="1"/>
    <col min="16" max="22" width="0" hidden="1" customWidth="1"/>
    <col min="30" max="30" width="17.77734375" customWidth="1"/>
    <col min="38" max="39" width="0" hidden="1" customWidth="1"/>
    <col min="42" max="46" width="0" hidden="1" customWidth="1"/>
  </cols>
  <sheetData>
    <row r="1" spans="1:47" s="2957" customFormat="1" ht="12">
      <c r="A1" s="2957" t="s">
        <v>3071</v>
      </c>
      <c r="B1" s="2957" t="s">
        <v>3072</v>
      </c>
      <c r="C1" s="2957" t="s">
        <v>3073</v>
      </c>
      <c r="D1" s="2957" t="s">
        <v>3074</v>
      </c>
      <c r="E1" s="2957" t="s">
        <v>3075</v>
      </c>
      <c r="F1" s="2957" t="s">
        <v>3076</v>
      </c>
      <c r="G1" s="2957" t="s">
        <v>3077</v>
      </c>
      <c r="H1" s="2957" t="s">
        <v>3078</v>
      </c>
      <c r="I1" s="2957" t="s">
        <v>3079</v>
      </c>
      <c r="J1" s="2957" t="s">
        <v>3080</v>
      </c>
      <c r="K1" s="2957" t="s">
        <v>3081</v>
      </c>
      <c r="L1" s="2957" t="s">
        <v>3082</v>
      </c>
      <c r="M1" s="2957" t="s">
        <v>3083</v>
      </c>
      <c r="N1" s="2957" t="s">
        <v>3084</v>
      </c>
      <c r="O1" s="2957" t="s">
        <v>3085</v>
      </c>
      <c r="P1" s="2957" t="s">
        <v>3086</v>
      </c>
      <c r="Q1" s="2957" t="s">
        <v>3087</v>
      </c>
      <c r="R1" s="2957" t="s">
        <v>3088</v>
      </c>
      <c r="S1" s="2957" t="s">
        <v>3089</v>
      </c>
      <c r="T1" s="2957" t="s">
        <v>3090</v>
      </c>
      <c r="U1" s="2957" t="s">
        <v>3091</v>
      </c>
      <c r="V1" s="2957" t="s">
        <v>3092</v>
      </c>
      <c r="W1" s="2957" t="s">
        <v>3093</v>
      </c>
      <c r="X1" s="2957" t="s">
        <v>3094</v>
      </c>
      <c r="Y1" s="2957" t="s">
        <v>3095</v>
      </c>
      <c r="Z1" s="2957" t="s">
        <v>3096</v>
      </c>
      <c r="AA1" s="2957" t="s">
        <v>3097</v>
      </c>
      <c r="AB1" s="2957" t="s">
        <v>3098</v>
      </c>
      <c r="AC1" s="2957" t="s">
        <v>3099</v>
      </c>
      <c r="AD1" s="2957" t="s">
        <v>3100</v>
      </c>
      <c r="AE1" s="2957" t="s">
        <v>3101</v>
      </c>
      <c r="AF1" s="2957" t="s">
        <v>3102</v>
      </c>
      <c r="AG1" s="2957" t="s">
        <v>3103</v>
      </c>
      <c r="AH1" s="2957" t="s">
        <v>3104</v>
      </c>
      <c r="AI1" s="2957" t="s">
        <v>3105</v>
      </c>
      <c r="AJ1" s="2957" t="s">
        <v>3106</v>
      </c>
      <c r="AK1" s="2957" t="s">
        <v>3107</v>
      </c>
      <c r="AL1" s="2957" t="s">
        <v>3108</v>
      </c>
      <c r="AM1" s="2957" t="s">
        <v>3109</v>
      </c>
      <c r="AN1" s="2957" t="s">
        <v>3110</v>
      </c>
      <c r="AO1" s="2957" t="s">
        <v>3111</v>
      </c>
      <c r="AP1" s="2957" t="s">
        <v>3112</v>
      </c>
      <c r="AQ1" s="2957" t="s">
        <v>3113</v>
      </c>
      <c r="AR1" s="2957" t="s">
        <v>3114</v>
      </c>
      <c r="AU1" s="2957" t="s">
        <v>3369</v>
      </c>
    </row>
    <row r="2" spans="1:47" s="2957" customFormat="1" ht="12">
      <c r="A2" s="2957" t="s">
        <v>3115</v>
      </c>
      <c r="B2" s="2957" t="s">
        <v>3116</v>
      </c>
      <c r="C2" s="2957" t="s">
        <v>3117</v>
      </c>
      <c r="D2" s="2957" t="s">
        <v>3118</v>
      </c>
      <c r="E2" s="2957" t="s">
        <v>1331</v>
      </c>
      <c r="F2" s="2957" t="s">
        <v>3115</v>
      </c>
      <c r="G2" s="2957" t="s">
        <v>3119</v>
      </c>
      <c r="H2" s="2957">
        <v>201801</v>
      </c>
      <c r="I2" s="2957" t="s">
        <v>3120</v>
      </c>
      <c r="J2" s="2957">
        <v>15840</v>
      </c>
      <c r="K2" s="2957">
        <v>71280</v>
      </c>
      <c r="L2" s="2957" t="s">
        <v>3121</v>
      </c>
      <c r="M2" s="2957" t="s">
        <v>1331</v>
      </c>
      <c r="N2" s="2957" t="s">
        <v>3122</v>
      </c>
      <c r="O2" s="2957" t="s">
        <v>3123</v>
      </c>
      <c r="P2" s="2957" t="s">
        <v>1331</v>
      </c>
      <c r="Q2" s="2957" t="s">
        <v>1331</v>
      </c>
      <c r="R2" s="2957" t="s">
        <v>1331</v>
      </c>
      <c r="S2" s="2957" t="s">
        <v>1331</v>
      </c>
      <c r="T2" s="2957" t="s">
        <v>1331</v>
      </c>
      <c r="U2" s="2957" t="s">
        <v>1331</v>
      </c>
      <c r="V2" s="2957" t="s">
        <v>1331</v>
      </c>
      <c r="W2" s="2957" t="s">
        <v>3124</v>
      </c>
      <c r="X2" s="2957" t="s">
        <v>3125</v>
      </c>
      <c r="Y2" s="2957" t="s">
        <v>3126</v>
      </c>
      <c r="Z2" s="2957" t="s">
        <v>3127</v>
      </c>
      <c r="AA2" s="2957" t="s">
        <v>3127</v>
      </c>
      <c r="AB2" s="2957" t="s">
        <v>3128</v>
      </c>
      <c r="AC2" s="2957" t="s">
        <v>3129</v>
      </c>
      <c r="AD2" s="2957" t="s">
        <v>3130</v>
      </c>
      <c r="AE2" s="2957">
        <v>2927.23</v>
      </c>
      <c r="AF2" s="2957">
        <v>2927.23</v>
      </c>
      <c r="AG2" s="2957">
        <v>2927.23</v>
      </c>
      <c r="AH2" s="2957">
        <v>123.2</v>
      </c>
      <c r="AI2" s="2957">
        <v>123.2</v>
      </c>
      <c r="AJ2" s="2957">
        <v>410.66</v>
      </c>
      <c r="AK2" s="2957">
        <v>410.67</v>
      </c>
      <c r="AL2" s="2957" t="s">
        <v>1331</v>
      </c>
      <c r="AM2" s="2957" t="s">
        <v>1331</v>
      </c>
      <c r="AN2" s="2957">
        <v>0</v>
      </c>
      <c r="AO2" s="2957" t="s">
        <v>3131</v>
      </c>
      <c r="AP2" s="2957" t="s">
        <v>1331</v>
      </c>
      <c r="AQ2" s="2957" t="s">
        <v>1331</v>
      </c>
      <c r="AR2" s="2957" t="s">
        <v>1331</v>
      </c>
      <c r="AU2" s="2957">
        <f>ROUND(AG2/J2*10000,0)</f>
        <v>1848</v>
      </c>
    </row>
    <row r="3" spans="1:47" s="2957" customFormat="1" ht="12">
      <c r="A3" s="2957" t="s">
        <v>3132</v>
      </c>
      <c r="B3" s="2957" t="s">
        <v>3116</v>
      </c>
      <c r="C3" s="2957" t="s">
        <v>3117</v>
      </c>
      <c r="D3" s="2957" t="s">
        <v>3118</v>
      </c>
      <c r="E3" s="2957" t="s">
        <v>1331</v>
      </c>
      <c r="F3" s="2957" t="s">
        <v>3132</v>
      </c>
      <c r="G3" s="2957" t="s">
        <v>3119</v>
      </c>
      <c r="H3" s="2957">
        <v>201806</v>
      </c>
      <c r="I3" s="2957" t="s">
        <v>3120</v>
      </c>
      <c r="J3" s="2957">
        <v>69561.960000000006</v>
      </c>
      <c r="K3" s="2957">
        <v>173904.9</v>
      </c>
      <c r="L3" s="2957" t="s">
        <v>3133</v>
      </c>
      <c r="M3" s="2957" t="s">
        <v>1331</v>
      </c>
      <c r="N3" s="2957" t="s">
        <v>3134</v>
      </c>
      <c r="O3" s="2957" t="s">
        <v>3135</v>
      </c>
      <c r="P3" s="2957" t="s">
        <v>1331</v>
      </c>
      <c r="Q3" s="2957" t="s">
        <v>1331</v>
      </c>
      <c r="R3" s="2957" t="s">
        <v>1331</v>
      </c>
      <c r="S3" s="2957" t="s">
        <v>1331</v>
      </c>
      <c r="T3" s="2957" t="s">
        <v>1331</v>
      </c>
      <c r="U3" s="2957" t="s">
        <v>1331</v>
      </c>
      <c r="V3" s="2957" t="s">
        <v>1331</v>
      </c>
      <c r="W3" s="2957" t="s">
        <v>3124</v>
      </c>
      <c r="X3" s="2957" t="s">
        <v>3125</v>
      </c>
      <c r="Y3" s="2957" t="s">
        <v>3126</v>
      </c>
      <c r="Z3" s="2957" t="s">
        <v>3127</v>
      </c>
      <c r="AA3" s="2957" t="s">
        <v>3127</v>
      </c>
      <c r="AB3" s="2957" t="s">
        <v>3128</v>
      </c>
      <c r="AC3" s="2957" t="s">
        <v>3129</v>
      </c>
      <c r="AD3" s="2957" t="s">
        <v>3136</v>
      </c>
      <c r="AE3" s="2957">
        <v>13519</v>
      </c>
      <c r="AF3" s="2957">
        <v>17954</v>
      </c>
      <c r="AG3" s="2957">
        <v>17954</v>
      </c>
      <c r="AH3" s="2957">
        <v>172.07</v>
      </c>
      <c r="AI3" s="2957">
        <v>172.07</v>
      </c>
      <c r="AJ3" s="2957">
        <v>1032.4000000000001</v>
      </c>
      <c r="AK3" s="2957">
        <v>1032.4000000000001</v>
      </c>
      <c r="AL3" s="2957" t="s">
        <v>1331</v>
      </c>
      <c r="AM3" s="2957" t="s">
        <v>1331</v>
      </c>
      <c r="AN3" s="2957">
        <v>0</v>
      </c>
      <c r="AO3" s="2957" t="s">
        <v>3131</v>
      </c>
      <c r="AP3" s="2957" t="s">
        <v>1331</v>
      </c>
      <c r="AQ3" s="2957" t="s">
        <v>1331</v>
      </c>
      <c r="AR3" s="2957" t="s">
        <v>1331</v>
      </c>
      <c r="AU3" s="2957">
        <f t="shared" ref="AU3:AU42" si="0">ROUND(AG3/J3*10000,0)</f>
        <v>2581</v>
      </c>
    </row>
    <row r="4" spans="1:47" s="2959" customFormat="1" ht="12">
      <c r="A4" s="2959" t="s">
        <v>3137</v>
      </c>
      <c r="B4" s="2959" t="s">
        <v>3116</v>
      </c>
      <c r="C4" s="2959" t="s">
        <v>3138</v>
      </c>
      <c r="D4" s="2959" t="s">
        <v>3139</v>
      </c>
      <c r="E4" s="2959" t="s">
        <v>1331</v>
      </c>
      <c r="F4" s="2959" t="s">
        <v>3137</v>
      </c>
      <c r="G4" s="2959" t="s">
        <v>3140</v>
      </c>
      <c r="H4" s="2959" t="s">
        <v>3141</v>
      </c>
      <c r="I4" s="2959" t="s">
        <v>3142</v>
      </c>
      <c r="J4" s="2959">
        <v>113848</v>
      </c>
      <c r="K4" s="2959">
        <v>227696.1</v>
      </c>
      <c r="L4" s="2959" t="s">
        <v>3143</v>
      </c>
      <c r="M4" s="2959" t="s">
        <v>1331</v>
      </c>
      <c r="N4" s="2959" t="s">
        <v>1331</v>
      </c>
      <c r="O4" s="2959" t="s">
        <v>1331</v>
      </c>
      <c r="P4" s="2959" t="s">
        <v>1331</v>
      </c>
      <c r="Q4" s="2959" t="s">
        <v>1331</v>
      </c>
      <c r="R4" s="2959" t="s">
        <v>1331</v>
      </c>
      <c r="S4" s="2959" t="s">
        <v>1331</v>
      </c>
      <c r="T4" s="2959" t="s">
        <v>1331</v>
      </c>
      <c r="U4" s="2959" t="s">
        <v>1331</v>
      </c>
      <c r="V4" s="2959" t="s">
        <v>1331</v>
      </c>
      <c r="W4" s="2959" t="s">
        <v>3124</v>
      </c>
      <c r="X4" s="2959" t="s">
        <v>3144</v>
      </c>
      <c r="Y4" s="2959" t="s">
        <v>3145</v>
      </c>
      <c r="Z4" s="2959" t="s">
        <v>3146</v>
      </c>
      <c r="AA4" s="2959" t="s">
        <v>3146</v>
      </c>
      <c r="AB4" s="2959" t="s">
        <v>3147</v>
      </c>
      <c r="AC4" s="2959" t="s">
        <v>3129</v>
      </c>
      <c r="AD4" s="2959" t="s">
        <v>3148</v>
      </c>
      <c r="AE4" s="2959">
        <v>10000</v>
      </c>
      <c r="AF4" s="2959">
        <v>38500</v>
      </c>
      <c r="AG4" s="2959">
        <v>39500</v>
      </c>
      <c r="AH4" s="2959">
        <v>225.45</v>
      </c>
      <c r="AI4" s="2959">
        <v>231.3</v>
      </c>
      <c r="AJ4" s="2959">
        <v>1690.85</v>
      </c>
      <c r="AK4" s="2959">
        <v>1734.76</v>
      </c>
      <c r="AL4" s="2959" t="s">
        <v>1331</v>
      </c>
      <c r="AM4" s="2959" t="s">
        <v>1331</v>
      </c>
      <c r="AN4" s="2959">
        <v>2.6</v>
      </c>
      <c r="AO4" s="2959" t="s">
        <v>3149</v>
      </c>
      <c r="AP4" s="2959" t="s">
        <v>1331</v>
      </c>
      <c r="AQ4" s="2959" t="s">
        <v>1331</v>
      </c>
      <c r="AR4" s="2959" t="s">
        <v>1331</v>
      </c>
      <c r="AU4" s="2959">
        <f t="shared" si="0"/>
        <v>3470</v>
      </c>
    </row>
    <row r="5" spans="1:47" s="2959" customFormat="1" ht="12">
      <c r="A5" s="2959" t="s">
        <v>3150</v>
      </c>
      <c r="B5" s="2959" t="s">
        <v>3116</v>
      </c>
      <c r="C5" s="2959" t="s">
        <v>3138</v>
      </c>
      <c r="D5" s="2959" t="s">
        <v>3151</v>
      </c>
      <c r="E5" s="2959" t="s">
        <v>1331</v>
      </c>
      <c r="F5" s="2959" t="s">
        <v>3150</v>
      </c>
      <c r="G5" s="2959" t="s">
        <v>3119</v>
      </c>
      <c r="H5" s="2959" t="s">
        <v>3152</v>
      </c>
      <c r="I5" s="2959" t="s">
        <v>3153</v>
      </c>
      <c r="J5" s="2959">
        <v>6426.53</v>
      </c>
      <c r="K5" s="2959">
        <v>18251.349999999999</v>
      </c>
      <c r="L5" s="2959" t="s">
        <v>3154</v>
      </c>
      <c r="M5" s="2959" t="s">
        <v>1331</v>
      </c>
      <c r="N5" s="2959" t="s">
        <v>3155</v>
      </c>
      <c r="O5" s="2959" t="s">
        <v>1331</v>
      </c>
      <c r="P5" s="2959" t="s">
        <v>1331</v>
      </c>
      <c r="Q5" s="2959" t="s">
        <v>1331</v>
      </c>
      <c r="R5" s="2959" t="s">
        <v>1331</v>
      </c>
      <c r="S5" s="2959" t="s">
        <v>1331</v>
      </c>
      <c r="T5" s="2959" t="s">
        <v>1331</v>
      </c>
      <c r="U5" s="2959" t="s">
        <v>1331</v>
      </c>
      <c r="V5" s="2959" t="s">
        <v>1331</v>
      </c>
      <c r="W5" s="2959" t="s">
        <v>3124</v>
      </c>
      <c r="X5" s="2959" t="s">
        <v>3156</v>
      </c>
      <c r="Y5" s="2959" t="s">
        <v>3157</v>
      </c>
      <c r="Z5" s="2959" t="s">
        <v>3158</v>
      </c>
      <c r="AA5" s="2959" t="s">
        <v>3158</v>
      </c>
      <c r="AB5" s="2959" t="s">
        <v>3159</v>
      </c>
      <c r="AC5" s="2959" t="s">
        <v>3129</v>
      </c>
      <c r="AD5" s="2959" t="s">
        <v>3160</v>
      </c>
      <c r="AE5" s="2959">
        <v>1320</v>
      </c>
      <c r="AF5" s="2959">
        <v>3300</v>
      </c>
      <c r="AG5" s="2959">
        <v>3500</v>
      </c>
      <c r="AH5" s="2959">
        <v>342.33</v>
      </c>
      <c r="AI5" s="2959">
        <v>363.08</v>
      </c>
      <c r="AJ5" s="2959">
        <v>1808.08</v>
      </c>
      <c r="AK5" s="2959">
        <v>1917.67</v>
      </c>
      <c r="AL5" s="2959" t="s">
        <v>1331</v>
      </c>
      <c r="AM5" s="2959" t="s">
        <v>1331</v>
      </c>
      <c r="AN5" s="2959">
        <v>6.06</v>
      </c>
      <c r="AO5" s="2959" t="s">
        <v>3149</v>
      </c>
      <c r="AP5" s="2959" t="s">
        <v>1331</v>
      </c>
      <c r="AQ5" s="2959" t="s">
        <v>1331</v>
      </c>
      <c r="AR5" s="2959" t="s">
        <v>1331</v>
      </c>
      <c r="AU5" s="2959">
        <f t="shared" si="0"/>
        <v>5446</v>
      </c>
    </row>
    <row r="6" spans="1:47" s="2957" customFormat="1" ht="12">
      <c r="A6" s="2957" t="s">
        <v>3161</v>
      </c>
      <c r="B6" s="2957" t="s">
        <v>3116</v>
      </c>
      <c r="C6" s="2957" t="s">
        <v>3138</v>
      </c>
      <c r="D6" s="2957" t="s">
        <v>3162</v>
      </c>
      <c r="E6" s="2957" t="s">
        <v>1331</v>
      </c>
      <c r="F6" s="2957" t="s">
        <v>3161</v>
      </c>
      <c r="G6" s="2957" t="s">
        <v>3163</v>
      </c>
      <c r="H6" s="2957" t="s">
        <v>3164</v>
      </c>
      <c r="I6" s="2957" t="s">
        <v>3153</v>
      </c>
      <c r="J6" s="2957">
        <v>16106.88</v>
      </c>
      <c r="K6" s="2957">
        <v>28992.38</v>
      </c>
      <c r="L6" s="2957" t="s">
        <v>3165</v>
      </c>
      <c r="M6" s="2957" t="s">
        <v>1331</v>
      </c>
      <c r="N6" s="2957" t="s">
        <v>3166</v>
      </c>
      <c r="O6" s="2957" t="s">
        <v>3167</v>
      </c>
      <c r="P6" s="2957" t="s">
        <v>1331</v>
      </c>
      <c r="Q6" s="2957" t="s">
        <v>1331</v>
      </c>
      <c r="R6" s="2957" t="s">
        <v>1331</v>
      </c>
      <c r="S6" s="2957" t="s">
        <v>1331</v>
      </c>
      <c r="T6" s="2957" t="s">
        <v>1331</v>
      </c>
      <c r="U6" s="2957" t="s">
        <v>1331</v>
      </c>
      <c r="V6" s="2957" t="s">
        <v>1331</v>
      </c>
      <c r="W6" s="2957" t="s">
        <v>3124</v>
      </c>
      <c r="X6" s="2957" t="s">
        <v>3168</v>
      </c>
      <c r="Y6" s="2957" t="s">
        <v>3169</v>
      </c>
      <c r="Z6" s="2957" t="s">
        <v>3169</v>
      </c>
      <c r="AA6" s="2957" t="s">
        <v>3169</v>
      </c>
      <c r="AB6" s="2957" t="s">
        <v>3170</v>
      </c>
      <c r="AC6" s="2957" t="s">
        <v>3129</v>
      </c>
      <c r="AD6" s="2957" t="s">
        <v>3171</v>
      </c>
      <c r="AE6" s="2957">
        <v>3200</v>
      </c>
      <c r="AF6" s="2957">
        <v>8818.39</v>
      </c>
      <c r="AG6" s="2957">
        <v>14000</v>
      </c>
      <c r="AH6" s="2957">
        <v>364.99</v>
      </c>
      <c r="AI6" s="2957">
        <v>579.46</v>
      </c>
      <c r="AJ6" s="2957">
        <v>3041.62</v>
      </c>
      <c r="AK6" s="2957">
        <v>4828.8500000000004</v>
      </c>
      <c r="AL6" s="2957" t="s">
        <v>1331</v>
      </c>
      <c r="AM6" s="2957" t="s">
        <v>1331</v>
      </c>
      <c r="AN6" s="2957">
        <v>58.76</v>
      </c>
      <c r="AO6" s="2957" t="s">
        <v>3149</v>
      </c>
      <c r="AP6" s="2957" t="s">
        <v>1331</v>
      </c>
      <c r="AQ6" s="2957" t="s">
        <v>1331</v>
      </c>
      <c r="AR6" s="2957" t="s">
        <v>1331</v>
      </c>
      <c r="AU6" s="2957">
        <f t="shared" si="0"/>
        <v>8692</v>
      </c>
    </row>
    <row r="7" spans="1:47" s="2959" customFormat="1" ht="12">
      <c r="A7" s="2959" t="s">
        <v>3172</v>
      </c>
      <c r="B7" s="2959" t="s">
        <v>3116</v>
      </c>
      <c r="C7" s="2959" t="s">
        <v>3117</v>
      </c>
      <c r="D7" s="2959" t="s">
        <v>3118</v>
      </c>
      <c r="E7" s="2959" t="s">
        <v>1331</v>
      </c>
      <c r="F7" s="2959" t="s">
        <v>3172</v>
      </c>
      <c r="G7" s="2959" t="s">
        <v>3119</v>
      </c>
      <c r="H7" s="2959">
        <v>201744</v>
      </c>
      <c r="I7" s="2959" t="s">
        <v>3153</v>
      </c>
      <c r="J7" s="2959">
        <v>55562.34</v>
      </c>
      <c r="K7" s="2959">
        <v>138905.85</v>
      </c>
      <c r="L7" s="2959" t="s">
        <v>3133</v>
      </c>
      <c r="M7" s="2959" t="s">
        <v>1331</v>
      </c>
      <c r="N7" s="2959" t="s">
        <v>3134</v>
      </c>
      <c r="O7" s="2959" t="s">
        <v>3135</v>
      </c>
      <c r="P7" s="2959" t="s">
        <v>1331</v>
      </c>
      <c r="Q7" s="2959" t="s">
        <v>1331</v>
      </c>
      <c r="R7" s="2959" t="s">
        <v>1331</v>
      </c>
      <c r="S7" s="2959" t="s">
        <v>1331</v>
      </c>
      <c r="T7" s="2959" t="s">
        <v>1331</v>
      </c>
      <c r="U7" s="2959" t="s">
        <v>1331</v>
      </c>
      <c r="V7" s="2959" t="s">
        <v>1331</v>
      </c>
      <c r="W7" s="2959" t="s">
        <v>3124</v>
      </c>
      <c r="X7" s="2959" t="s">
        <v>3173</v>
      </c>
      <c r="Y7" s="2959" t="s">
        <v>3174</v>
      </c>
      <c r="Z7" s="2959" t="s">
        <v>3175</v>
      </c>
      <c r="AA7" s="2959" t="s">
        <v>3175</v>
      </c>
      <c r="AB7" s="2959" t="s">
        <v>3176</v>
      </c>
      <c r="AC7" s="2959" t="s">
        <v>3129</v>
      </c>
      <c r="AD7" s="2959" t="s">
        <v>3136</v>
      </c>
      <c r="AE7" s="2959">
        <v>15074.06</v>
      </c>
      <c r="AF7" s="2959">
        <v>15074.05</v>
      </c>
      <c r="AG7" s="2959">
        <v>23725.11</v>
      </c>
      <c r="AH7" s="2959">
        <v>180.87</v>
      </c>
      <c r="AI7" s="2959">
        <v>284.67</v>
      </c>
      <c r="AJ7" s="2959">
        <v>1085.19</v>
      </c>
      <c r="AK7" s="2959">
        <v>1708</v>
      </c>
      <c r="AL7" s="2959" t="s">
        <v>1331</v>
      </c>
      <c r="AM7" s="2959" t="s">
        <v>1331</v>
      </c>
      <c r="AN7" s="2959">
        <v>57.39</v>
      </c>
      <c r="AO7" s="2959" t="s">
        <v>3131</v>
      </c>
      <c r="AP7" s="2959" t="s">
        <v>1331</v>
      </c>
      <c r="AQ7" s="2959" t="s">
        <v>1331</v>
      </c>
      <c r="AR7" s="2959" t="s">
        <v>1331</v>
      </c>
      <c r="AU7" s="2959">
        <f t="shared" si="0"/>
        <v>4270</v>
      </c>
    </row>
    <row r="8" spans="1:47" s="2957" customFormat="1" ht="12">
      <c r="A8" s="2957" t="s">
        <v>3177</v>
      </c>
      <c r="B8" s="2957" t="s">
        <v>3116</v>
      </c>
      <c r="C8" s="2957" t="s">
        <v>3117</v>
      </c>
      <c r="D8" s="2957" t="s">
        <v>3118</v>
      </c>
      <c r="E8" s="2957" t="s">
        <v>1331</v>
      </c>
      <c r="F8" s="2957" t="s">
        <v>3177</v>
      </c>
      <c r="G8" s="2957" t="s">
        <v>3119</v>
      </c>
      <c r="H8" s="2957">
        <v>201745</v>
      </c>
      <c r="I8" s="2957" t="s">
        <v>3153</v>
      </c>
      <c r="J8" s="2957">
        <v>41947.199999999997</v>
      </c>
      <c r="K8" s="2957">
        <v>104868</v>
      </c>
      <c r="L8" s="2957" t="s">
        <v>3133</v>
      </c>
      <c r="M8" s="2957" t="s">
        <v>1331</v>
      </c>
      <c r="N8" s="2957" t="s">
        <v>3134</v>
      </c>
      <c r="O8" s="2957" t="s">
        <v>3135</v>
      </c>
      <c r="P8" s="2957" t="s">
        <v>1331</v>
      </c>
      <c r="Q8" s="2957" t="s">
        <v>1331</v>
      </c>
      <c r="R8" s="2957" t="s">
        <v>1331</v>
      </c>
      <c r="S8" s="2957" t="s">
        <v>1331</v>
      </c>
      <c r="T8" s="2957" t="s">
        <v>1331</v>
      </c>
      <c r="U8" s="2957" t="s">
        <v>1331</v>
      </c>
      <c r="V8" s="2957" t="s">
        <v>1331</v>
      </c>
      <c r="W8" s="2957" t="s">
        <v>3124</v>
      </c>
      <c r="X8" s="2957" t="s">
        <v>3173</v>
      </c>
      <c r="Y8" s="2957" t="s">
        <v>3174</v>
      </c>
      <c r="Z8" s="2957" t="s">
        <v>3175</v>
      </c>
      <c r="AA8" s="2957" t="s">
        <v>3175</v>
      </c>
      <c r="AB8" s="2957" t="s">
        <v>3176</v>
      </c>
      <c r="AC8" s="2957" t="s">
        <v>3129</v>
      </c>
      <c r="AD8" s="2957" t="s">
        <v>3178</v>
      </c>
      <c r="AE8" s="2957">
        <v>11359.3</v>
      </c>
      <c r="AF8" s="2957">
        <v>11359.29</v>
      </c>
      <c r="AG8" s="2957">
        <v>11359.29</v>
      </c>
      <c r="AH8" s="2957">
        <v>180.53</v>
      </c>
      <c r="AI8" s="2957">
        <v>180.53</v>
      </c>
      <c r="AJ8" s="2957">
        <v>1083.19</v>
      </c>
      <c r="AK8" s="2957">
        <v>1083.2</v>
      </c>
      <c r="AL8" s="2957" t="s">
        <v>1331</v>
      </c>
      <c r="AM8" s="2957" t="s">
        <v>1331</v>
      </c>
      <c r="AN8" s="2957">
        <v>0</v>
      </c>
      <c r="AO8" s="2957" t="s">
        <v>3131</v>
      </c>
      <c r="AP8" s="2957" t="s">
        <v>1331</v>
      </c>
      <c r="AQ8" s="2957" t="s">
        <v>1331</v>
      </c>
      <c r="AR8" s="2957" t="s">
        <v>1331</v>
      </c>
      <c r="AU8" s="2957">
        <f t="shared" si="0"/>
        <v>2708</v>
      </c>
    </row>
    <row r="9" spans="1:47" s="2957" customFormat="1" ht="12">
      <c r="A9" s="2957" t="s">
        <v>3179</v>
      </c>
      <c r="B9" s="2957" t="s">
        <v>3116</v>
      </c>
      <c r="C9" s="2957" t="s">
        <v>3117</v>
      </c>
      <c r="D9" s="2957" t="s">
        <v>3118</v>
      </c>
      <c r="E9" s="2957" t="s">
        <v>1331</v>
      </c>
      <c r="F9" s="2957" t="s">
        <v>3179</v>
      </c>
      <c r="G9" s="2957" t="s">
        <v>3119</v>
      </c>
      <c r="H9" s="2957">
        <v>201746</v>
      </c>
      <c r="I9" s="2957" t="s">
        <v>3153</v>
      </c>
      <c r="J9" s="2957">
        <v>41890.61</v>
      </c>
      <c r="K9" s="2957">
        <v>104726.53</v>
      </c>
      <c r="L9" s="2957" t="s">
        <v>3133</v>
      </c>
      <c r="M9" s="2957" t="s">
        <v>1331</v>
      </c>
      <c r="N9" s="2957" t="s">
        <v>3134</v>
      </c>
      <c r="O9" s="2957" t="s">
        <v>3135</v>
      </c>
      <c r="P9" s="2957" t="s">
        <v>1331</v>
      </c>
      <c r="Q9" s="2957" t="s">
        <v>1331</v>
      </c>
      <c r="R9" s="2957" t="s">
        <v>1331</v>
      </c>
      <c r="S9" s="2957" t="s">
        <v>1331</v>
      </c>
      <c r="T9" s="2957" t="s">
        <v>1331</v>
      </c>
      <c r="U9" s="2957" t="s">
        <v>1331</v>
      </c>
      <c r="V9" s="2957" t="s">
        <v>1331</v>
      </c>
      <c r="W9" s="2957" t="s">
        <v>3124</v>
      </c>
      <c r="X9" s="2957" t="s">
        <v>3173</v>
      </c>
      <c r="Y9" s="2957" t="s">
        <v>3174</v>
      </c>
      <c r="Z9" s="2957" t="s">
        <v>3175</v>
      </c>
      <c r="AA9" s="2957" t="s">
        <v>3175</v>
      </c>
      <c r="AB9" s="2957" t="s">
        <v>3176</v>
      </c>
      <c r="AC9" s="2957" t="s">
        <v>3129</v>
      </c>
      <c r="AD9" s="2957" t="s">
        <v>3178</v>
      </c>
      <c r="AE9" s="2957">
        <v>11343.98</v>
      </c>
      <c r="AF9" s="2957">
        <v>11343.97</v>
      </c>
      <c r="AG9" s="2957">
        <v>11343.97</v>
      </c>
      <c r="AH9" s="2957">
        <v>180.53</v>
      </c>
      <c r="AI9" s="2957">
        <v>180.53</v>
      </c>
      <c r="AJ9" s="2957">
        <v>1083.2</v>
      </c>
      <c r="AK9" s="2957">
        <v>1083.2</v>
      </c>
      <c r="AL9" s="2957" t="s">
        <v>1331</v>
      </c>
      <c r="AM9" s="2957" t="s">
        <v>1331</v>
      </c>
      <c r="AN9" s="2957">
        <v>0</v>
      </c>
      <c r="AO9" s="2957" t="s">
        <v>3131</v>
      </c>
      <c r="AP9" s="2957" t="s">
        <v>1331</v>
      </c>
      <c r="AQ9" s="2957" t="s">
        <v>1331</v>
      </c>
      <c r="AR9" s="2957" t="s">
        <v>1331</v>
      </c>
      <c r="AU9" s="2957">
        <f t="shared" si="0"/>
        <v>2708</v>
      </c>
    </row>
    <row r="10" spans="1:47" s="2957" customFormat="1" ht="12">
      <c r="A10" s="2957" t="s">
        <v>3180</v>
      </c>
      <c r="B10" s="2957" t="s">
        <v>3116</v>
      </c>
      <c r="C10" s="2957" t="s">
        <v>3117</v>
      </c>
      <c r="D10" s="2957" t="s">
        <v>3118</v>
      </c>
      <c r="E10" s="2957" t="s">
        <v>1331</v>
      </c>
      <c r="F10" s="2957" t="s">
        <v>3180</v>
      </c>
      <c r="G10" s="2957" t="s">
        <v>3119</v>
      </c>
      <c r="H10" s="2957">
        <v>201741</v>
      </c>
      <c r="I10" s="2957" t="s">
        <v>3153</v>
      </c>
      <c r="J10" s="2957">
        <v>26926.89</v>
      </c>
      <c r="K10" s="2957">
        <v>70009.91</v>
      </c>
      <c r="L10" s="2957" t="s">
        <v>3181</v>
      </c>
      <c r="M10" s="2957" t="s">
        <v>1331</v>
      </c>
      <c r="N10" s="2957" t="s">
        <v>3182</v>
      </c>
      <c r="O10" s="2957" t="s">
        <v>3123</v>
      </c>
      <c r="P10" s="2957" t="s">
        <v>1331</v>
      </c>
      <c r="Q10" s="2957" t="s">
        <v>1331</v>
      </c>
      <c r="R10" s="2957" t="s">
        <v>1331</v>
      </c>
      <c r="S10" s="2957" t="s">
        <v>1331</v>
      </c>
      <c r="T10" s="2957" t="s">
        <v>1331</v>
      </c>
      <c r="U10" s="2957" t="s">
        <v>1331</v>
      </c>
      <c r="V10" s="2957" t="s">
        <v>1331</v>
      </c>
      <c r="W10" s="2957" t="s">
        <v>3124</v>
      </c>
      <c r="X10" s="2957" t="s">
        <v>3183</v>
      </c>
      <c r="Y10" s="2957" t="s">
        <v>3173</v>
      </c>
      <c r="Z10" s="2957" t="s">
        <v>3184</v>
      </c>
      <c r="AA10" s="2957" t="s">
        <v>3184</v>
      </c>
      <c r="AB10" s="2957" t="s">
        <v>3185</v>
      </c>
      <c r="AC10" s="2957" t="s">
        <v>3129</v>
      </c>
      <c r="AD10" s="2957" t="s">
        <v>3186</v>
      </c>
      <c r="AE10" s="2957">
        <v>6874.44</v>
      </c>
      <c r="AF10" s="2957">
        <v>6874.43</v>
      </c>
      <c r="AG10" s="2957">
        <v>6874.43</v>
      </c>
      <c r="AH10" s="2957">
        <v>170.2</v>
      </c>
      <c r="AI10" s="2957">
        <v>170.2</v>
      </c>
      <c r="AJ10" s="2957">
        <v>981.92</v>
      </c>
      <c r="AK10" s="2957">
        <v>981.91</v>
      </c>
      <c r="AL10" s="2957" t="s">
        <v>1331</v>
      </c>
      <c r="AM10" s="2957" t="s">
        <v>1331</v>
      </c>
      <c r="AN10" s="2957">
        <v>0</v>
      </c>
      <c r="AO10" s="2957" t="s">
        <v>3131</v>
      </c>
      <c r="AP10" s="2957" t="s">
        <v>1331</v>
      </c>
      <c r="AQ10" s="2957" t="s">
        <v>1331</v>
      </c>
      <c r="AR10" s="2957" t="s">
        <v>1331</v>
      </c>
      <c r="AU10" s="2957">
        <f t="shared" si="0"/>
        <v>2553</v>
      </c>
    </row>
    <row r="11" spans="1:47" s="2957" customFormat="1" ht="12">
      <c r="A11" s="2957" t="s">
        <v>3187</v>
      </c>
      <c r="B11" s="2957" t="s">
        <v>3116</v>
      </c>
      <c r="C11" s="2957" t="s">
        <v>3117</v>
      </c>
      <c r="D11" s="2957" t="s">
        <v>3118</v>
      </c>
      <c r="E11" s="2957" t="s">
        <v>1331</v>
      </c>
      <c r="F11" s="2957" t="s">
        <v>3187</v>
      </c>
      <c r="G11" s="2957" t="s">
        <v>3119</v>
      </c>
      <c r="H11" s="2957">
        <v>201742</v>
      </c>
      <c r="I11" s="2957" t="s">
        <v>3153</v>
      </c>
      <c r="J11" s="2957">
        <v>22970.87</v>
      </c>
      <c r="K11" s="2957">
        <v>57427.18</v>
      </c>
      <c r="L11" s="2957" t="s">
        <v>3133</v>
      </c>
      <c r="M11" s="2957" t="s">
        <v>1331</v>
      </c>
      <c r="N11" s="2957" t="s">
        <v>3182</v>
      </c>
      <c r="O11" s="2957" t="s">
        <v>3188</v>
      </c>
      <c r="P11" s="2957" t="s">
        <v>1331</v>
      </c>
      <c r="Q11" s="2957" t="s">
        <v>1331</v>
      </c>
      <c r="R11" s="2957" t="s">
        <v>1331</v>
      </c>
      <c r="S11" s="2957" t="s">
        <v>1331</v>
      </c>
      <c r="T11" s="2957" t="s">
        <v>1331</v>
      </c>
      <c r="U11" s="2957" t="s">
        <v>1331</v>
      </c>
      <c r="V11" s="2957" t="s">
        <v>1331</v>
      </c>
      <c r="W11" s="2957" t="s">
        <v>3124</v>
      </c>
      <c r="X11" s="2957" t="s">
        <v>3183</v>
      </c>
      <c r="Y11" s="2957" t="s">
        <v>3173</v>
      </c>
      <c r="Z11" s="2957" t="s">
        <v>3184</v>
      </c>
      <c r="AA11" s="2957" t="s">
        <v>3184</v>
      </c>
      <c r="AB11" s="2957" t="s">
        <v>3189</v>
      </c>
      <c r="AC11" s="2957" t="s">
        <v>3129</v>
      </c>
      <c r="AD11" s="2957" t="s">
        <v>3190</v>
      </c>
      <c r="AE11" s="2957">
        <v>5517.6</v>
      </c>
      <c r="AF11" s="2957">
        <v>5517.6</v>
      </c>
      <c r="AG11" s="2957">
        <v>5517.6</v>
      </c>
      <c r="AH11" s="2957">
        <v>160.13</v>
      </c>
      <c r="AI11" s="2957">
        <v>160.13</v>
      </c>
      <c r="AJ11" s="2957">
        <v>960.79</v>
      </c>
      <c r="AK11" s="2957">
        <v>960.79</v>
      </c>
      <c r="AL11" s="2957" t="s">
        <v>1331</v>
      </c>
      <c r="AM11" s="2957" t="s">
        <v>1331</v>
      </c>
      <c r="AN11" s="2957">
        <v>0</v>
      </c>
      <c r="AO11" s="2957" t="s">
        <v>3131</v>
      </c>
      <c r="AP11" s="2957" t="s">
        <v>1331</v>
      </c>
      <c r="AQ11" s="2957" t="s">
        <v>1331</v>
      </c>
      <c r="AR11" s="2957" t="s">
        <v>1331</v>
      </c>
      <c r="AU11" s="2957">
        <f t="shared" si="0"/>
        <v>2402</v>
      </c>
    </row>
    <row r="12" spans="1:47" s="2957" customFormat="1" ht="12">
      <c r="A12" s="2957" t="s">
        <v>3180</v>
      </c>
      <c r="B12" s="2957" t="s">
        <v>3116</v>
      </c>
      <c r="C12" s="2957" t="s">
        <v>3117</v>
      </c>
      <c r="D12" s="2957" t="s">
        <v>3118</v>
      </c>
      <c r="E12" s="2957" t="s">
        <v>1331</v>
      </c>
      <c r="F12" s="2957" t="s">
        <v>3180</v>
      </c>
      <c r="G12" s="2957" t="s">
        <v>3119</v>
      </c>
      <c r="H12" s="2957">
        <v>201739</v>
      </c>
      <c r="I12" s="2957" t="s">
        <v>3153</v>
      </c>
      <c r="J12" s="2957">
        <v>30876.29</v>
      </c>
      <c r="K12" s="2957">
        <v>80278.350000000006</v>
      </c>
      <c r="L12" s="2957" t="s">
        <v>3181</v>
      </c>
      <c r="M12" s="2957" t="s">
        <v>1331</v>
      </c>
      <c r="N12" s="2957" t="s">
        <v>3182</v>
      </c>
      <c r="O12" s="2957" t="s">
        <v>3123</v>
      </c>
      <c r="P12" s="2957" t="s">
        <v>1331</v>
      </c>
      <c r="Q12" s="2957" t="s">
        <v>1331</v>
      </c>
      <c r="R12" s="2957" t="s">
        <v>1331</v>
      </c>
      <c r="S12" s="2957" t="s">
        <v>1331</v>
      </c>
      <c r="T12" s="2957" t="s">
        <v>1331</v>
      </c>
      <c r="U12" s="2957" t="s">
        <v>1331</v>
      </c>
      <c r="V12" s="2957" t="s">
        <v>1331</v>
      </c>
      <c r="W12" s="2957" t="s">
        <v>3124</v>
      </c>
      <c r="X12" s="2957" t="s">
        <v>3183</v>
      </c>
      <c r="Y12" s="2957" t="s">
        <v>3173</v>
      </c>
      <c r="Z12" s="2957" t="s">
        <v>3184</v>
      </c>
      <c r="AA12" s="2957" t="s">
        <v>3184</v>
      </c>
      <c r="AB12" s="2957" t="s">
        <v>3185</v>
      </c>
      <c r="AC12" s="2957" t="s">
        <v>3129</v>
      </c>
      <c r="AD12" s="2957" t="s">
        <v>3186</v>
      </c>
      <c r="AE12" s="2957">
        <v>7873.45</v>
      </c>
      <c r="AF12" s="2957">
        <v>7873.44</v>
      </c>
      <c r="AG12" s="2957">
        <v>7873.44</v>
      </c>
      <c r="AH12" s="2957">
        <v>170</v>
      </c>
      <c r="AI12" s="2957">
        <v>170</v>
      </c>
      <c r="AJ12" s="2957">
        <v>980.76</v>
      </c>
      <c r="AK12" s="2957">
        <v>980.76</v>
      </c>
      <c r="AL12" s="2957" t="s">
        <v>1331</v>
      </c>
      <c r="AM12" s="2957" t="s">
        <v>1331</v>
      </c>
      <c r="AN12" s="2957">
        <v>0</v>
      </c>
      <c r="AO12" s="2957" t="s">
        <v>3131</v>
      </c>
      <c r="AP12" s="2957" t="s">
        <v>1331</v>
      </c>
      <c r="AQ12" s="2957" t="s">
        <v>1331</v>
      </c>
      <c r="AR12" s="2957" t="s">
        <v>1331</v>
      </c>
      <c r="AU12" s="2957">
        <f t="shared" si="0"/>
        <v>2550</v>
      </c>
    </row>
    <row r="13" spans="1:47" s="2957" customFormat="1" ht="12">
      <c r="A13" s="2957" t="s">
        <v>3180</v>
      </c>
      <c r="B13" s="2957" t="s">
        <v>3116</v>
      </c>
      <c r="C13" s="2957" t="s">
        <v>3117</v>
      </c>
      <c r="D13" s="2957" t="s">
        <v>3118</v>
      </c>
      <c r="E13" s="2957" t="s">
        <v>1331</v>
      </c>
      <c r="F13" s="2957" t="s">
        <v>3180</v>
      </c>
      <c r="G13" s="2957" t="s">
        <v>3119</v>
      </c>
      <c r="H13" s="2957">
        <v>201740</v>
      </c>
      <c r="I13" s="2957" t="s">
        <v>3153</v>
      </c>
      <c r="J13" s="2957">
        <v>59140.08</v>
      </c>
      <c r="K13" s="2957">
        <v>153764.21</v>
      </c>
      <c r="L13" s="2957" t="s">
        <v>3181</v>
      </c>
      <c r="M13" s="2957" t="s">
        <v>1331</v>
      </c>
      <c r="N13" s="2957" t="s">
        <v>3182</v>
      </c>
      <c r="O13" s="2957" t="s">
        <v>3123</v>
      </c>
      <c r="P13" s="2957" t="s">
        <v>1331</v>
      </c>
      <c r="Q13" s="2957" t="s">
        <v>1331</v>
      </c>
      <c r="R13" s="2957" t="s">
        <v>1331</v>
      </c>
      <c r="S13" s="2957" t="s">
        <v>1331</v>
      </c>
      <c r="T13" s="2957" t="s">
        <v>1331</v>
      </c>
      <c r="U13" s="2957" t="s">
        <v>1331</v>
      </c>
      <c r="V13" s="2957" t="s">
        <v>1331</v>
      </c>
      <c r="W13" s="2957" t="s">
        <v>3124</v>
      </c>
      <c r="X13" s="2957" t="s">
        <v>3183</v>
      </c>
      <c r="Y13" s="2957" t="s">
        <v>3173</v>
      </c>
      <c r="Z13" s="2957" t="s">
        <v>3184</v>
      </c>
      <c r="AA13" s="2957" t="s">
        <v>3184</v>
      </c>
      <c r="AB13" s="2957" t="s">
        <v>3185</v>
      </c>
      <c r="AC13" s="2957" t="s">
        <v>3129</v>
      </c>
      <c r="AD13" s="2957" t="s">
        <v>3186</v>
      </c>
      <c r="AE13" s="2957">
        <v>15080.72</v>
      </c>
      <c r="AF13" s="2957">
        <v>15080.71</v>
      </c>
      <c r="AG13" s="2957">
        <v>15080.71</v>
      </c>
      <c r="AH13" s="2957">
        <v>170</v>
      </c>
      <c r="AI13" s="2957">
        <v>170</v>
      </c>
      <c r="AJ13" s="2957">
        <v>980.76</v>
      </c>
      <c r="AK13" s="2957">
        <v>980.76</v>
      </c>
      <c r="AL13" s="2957" t="s">
        <v>1331</v>
      </c>
      <c r="AM13" s="2957" t="s">
        <v>1331</v>
      </c>
      <c r="AN13" s="2957">
        <v>0</v>
      </c>
      <c r="AO13" s="2957" t="s">
        <v>3131</v>
      </c>
      <c r="AP13" s="2957" t="s">
        <v>1331</v>
      </c>
      <c r="AQ13" s="2957" t="s">
        <v>1331</v>
      </c>
      <c r="AR13" s="2957" t="s">
        <v>1331</v>
      </c>
      <c r="AU13" s="2957">
        <f t="shared" si="0"/>
        <v>2550</v>
      </c>
    </row>
    <row r="14" spans="1:47" s="2957" customFormat="1" ht="12">
      <c r="A14" s="2957" t="s">
        <v>3191</v>
      </c>
      <c r="B14" s="2957" t="s">
        <v>3116</v>
      </c>
      <c r="C14" s="2957" t="s">
        <v>3117</v>
      </c>
      <c r="D14" s="2957" t="s">
        <v>3118</v>
      </c>
      <c r="E14" s="2957" t="s">
        <v>1331</v>
      </c>
      <c r="F14" s="2957" t="s">
        <v>3191</v>
      </c>
      <c r="G14" s="2957" t="s">
        <v>3119</v>
      </c>
      <c r="H14" s="2957">
        <v>201728</v>
      </c>
      <c r="I14" s="2957" t="s">
        <v>3153</v>
      </c>
      <c r="J14" s="2957">
        <v>1050.6400000000001</v>
      </c>
      <c r="K14" s="2957">
        <v>1891.15</v>
      </c>
      <c r="L14" s="2957" t="s">
        <v>3192</v>
      </c>
      <c r="M14" s="2957" t="s">
        <v>1331</v>
      </c>
      <c r="N14" s="2957" t="s">
        <v>3182</v>
      </c>
      <c r="O14" s="2957" t="s">
        <v>3122</v>
      </c>
      <c r="P14" s="2957" t="s">
        <v>1331</v>
      </c>
      <c r="Q14" s="2957" t="s">
        <v>1331</v>
      </c>
      <c r="R14" s="2957" t="s">
        <v>1331</v>
      </c>
      <c r="S14" s="2957" t="s">
        <v>1331</v>
      </c>
      <c r="T14" s="2957" t="s">
        <v>1331</v>
      </c>
      <c r="U14" s="2957" t="s">
        <v>1331</v>
      </c>
      <c r="V14" s="2957" t="s">
        <v>1331</v>
      </c>
      <c r="W14" s="2957" t="s">
        <v>3124</v>
      </c>
      <c r="X14" s="2957" t="s">
        <v>3193</v>
      </c>
      <c r="Y14" s="2957" t="s">
        <v>3194</v>
      </c>
      <c r="Z14" s="2957" t="s">
        <v>3195</v>
      </c>
      <c r="AA14" s="2957" t="s">
        <v>3195</v>
      </c>
      <c r="AB14" s="2957" t="s">
        <v>3196</v>
      </c>
      <c r="AC14" s="2957" t="s">
        <v>3129</v>
      </c>
      <c r="AD14" s="2957" t="s">
        <v>3197</v>
      </c>
      <c r="AE14" s="2957">
        <v>165.19</v>
      </c>
      <c r="AF14" s="2957">
        <v>165.18</v>
      </c>
      <c r="AG14" s="2957">
        <v>165.18</v>
      </c>
      <c r="AH14" s="2957">
        <v>104.81</v>
      </c>
      <c r="AI14" s="2957">
        <v>104.81</v>
      </c>
      <c r="AJ14" s="2957">
        <v>873.48</v>
      </c>
      <c r="AK14" s="2957">
        <v>873.49</v>
      </c>
      <c r="AL14" s="2957" t="s">
        <v>1331</v>
      </c>
      <c r="AM14" s="2957" t="s">
        <v>1331</v>
      </c>
      <c r="AN14" s="2957">
        <v>0</v>
      </c>
      <c r="AO14" s="2957" t="s">
        <v>3131</v>
      </c>
      <c r="AP14" s="2957" t="s">
        <v>1331</v>
      </c>
      <c r="AQ14" s="2957" t="s">
        <v>1331</v>
      </c>
      <c r="AR14" s="2957" t="s">
        <v>1331</v>
      </c>
      <c r="AU14" s="2957">
        <f t="shared" si="0"/>
        <v>1572</v>
      </c>
    </row>
    <row r="15" spans="1:47" s="2957" customFormat="1" ht="12">
      <c r="A15" s="2957" t="s">
        <v>3198</v>
      </c>
      <c r="B15" s="2957" t="s">
        <v>3116</v>
      </c>
      <c r="C15" s="2957" t="s">
        <v>3117</v>
      </c>
      <c r="D15" s="2957" t="s">
        <v>3118</v>
      </c>
      <c r="E15" s="2957" t="s">
        <v>1331</v>
      </c>
      <c r="F15" s="2957" t="s">
        <v>3198</v>
      </c>
      <c r="G15" s="2957" t="s">
        <v>3119</v>
      </c>
      <c r="H15" s="2957">
        <v>201708</v>
      </c>
      <c r="I15" s="2957" t="s">
        <v>3153</v>
      </c>
      <c r="J15" s="2957">
        <v>22440</v>
      </c>
      <c r="K15" s="2957">
        <v>116688</v>
      </c>
      <c r="L15" s="2957" t="s">
        <v>3199</v>
      </c>
      <c r="M15" s="2957" t="s">
        <v>1331</v>
      </c>
      <c r="N15" s="2957" t="s">
        <v>3200</v>
      </c>
      <c r="O15" s="2957" t="s">
        <v>3123</v>
      </c>
      <c r="P15" s="2957" t="s">
        <v>1331</v>
      </c>
      <c r="Q15" s="2957" t="s">
        <v>1331</v>
      </c>
      <c r="R15" s="2957" t="s">
        <v>1331</v>
      </c>
      <c r="S15" s="2957" t="s">
        <v>1331</v>
      </c>
      <c r="T15" s="2957" t="s">
        <v>1331</v>
      </c>
      <c r="U15" s="2957" t="s">
        <v>1331</v>
      </c>
      <c r="V15" s="2957" t="s">
        <v>1331</v>
      </c>
      <c r="W15" s="2957" t="s">
        <v>3124</v>
      </c>
      <c r="X15" s="2957" t="s">
        <v>3201</v>
      </c>
      <c r="Y15" s="2957" t="s">
        <v>3202</v>
      </c>
      <c r="Z15" s="2957" t="s">
        <v>3203</v>
      </c>
      <c r="AA15" s="2957" t="s">
        <v>3203</v>
      </c>
      <c r="AB15" s="2957" t="s">
        <v>3204</v>
      </c>
      <c r="AC15" s="2957" t="s">
        <v>3129</v>
      </c>
      <c r="AD15" s="2957" t="s">
        <v>3205</v>
      </c>
      <c r="AE15" s="2957">
        <v>3168.53</v>
      </c>
      <c r="AF15" s="2957">
        <v>3168.53</v>
      </c>
      <c r="AG15" s="2957">
        <v>3168.53</v>
      </c>
      <c r="AH15" s="2957">
        <v>94.13</v>
      </c>
      <c r="AI15" s="2957">
        <v>94.13</v>
      </c>
      <c r="AJ15" s="2957">
        <v>271.52999999999997</v>
      </c>
      <c r="AK15" s="2957">
        <v>271.54000000000002</v>
      </c>
      <c r="AL15" s="2957" t="s">
        <v>1331</v>
      </c>
      <c r="AM15" s="2957" t="s">
        <v>1331</v>
      </c>
      <c r="AN15" s="2957">
        <v>0</v>
      </c>
      <c r="AO15" s="2957" t="s">
        <v>3131</v>
      </c>
      <c r="AP15" s="2957" t="s">
        <v>1331</v>
      </c>
      <c r="AQ15" s="2957" t="s">
        <v>1331</v>
      </c>
      <c r="AR15" s="2957" t="s">
        <v>1331</v>
      </c>
      <c r="AU15" s="2957">
        <f t="shared" si="0"/>
        <v>1412</v>
      </c>
    </row>
    <row r="16" spans="1:47" s="2957" customFormat="1" ht="12">
      <c r="A16" s="2957" t="s">
        <v>3206</v>
      </c>
      <c r="B16" s="2957" t="s">
        <v>3116</v>
      </c>
      <c r="C16" s="2957" t="s">
        <v>3138</v>
      </c>
      <c r="D16" s="2957" t="s">
        <v>3162</v>
      </c>
      <c r="E16" s="2957" t="s">
        <v>1331</v>
      </c>
      <c r="F16" s="2957" t="s">
        <v>3206</v>
      </c>
      <c r="G16" s="2957" t="s">
        <v>3163</v>
      </c>
      <c r="H16" s="2957" t="s">
        <v>3207</v>
      </c>
      <c r="I16" s="2957" t="s">
        <v>3208</v>
      </c>
      <c r="J16" s="2957">
        <v>51703.8</v>
      </c>
      <c r="K16" s="2957">
        <v>98237.22</v>
      </c>
      <c r="L16" s="2957" t="s">
        <v>3209</v>
      </c>
      <c r="M16" s="2957" t="s">
        <v>1331</v>
      </c>
      <c r="N16" s="2957" t="s">
        <v>3210</v>
      </c>
      <c r="O16" s="2957" t="s">
        <v>1331</v>
      </c>
      <c r="P16" s="2957" t="s">
        <v>1331</v>
      </c>
      <c r="Q16" s="2957" t="s">
        <v>1331</v>
      </c>
      <c r="R16" s="2957" t="s">
        <v>1331</v>
      </c>
      <c r="S16" s="2957" t="s">
        <v>1331</v>
      </c>
      <c r="T16" s="2957" t="s">
        <v>1331</v>
      </c>
      <c r="U16" s="2957" t="s">
        <v>1331</v>
      </c>
      <c r="V16" s="2957" t="s">
        <v>1331</v>
      </c>
      <c r="W16" s="2957" t="s">
        <v>3211</v>
      </c>
      <c r="X16" s="2957" t="s">
        <v>3212</v>
      </c>
      <c r="Y16" s="2957" t="s">
        <v>3213</v>
      </c>
      <c r="Z16" s="2957" t="s">
        <v>3213</v>
      </c>
      <c r="AA16" s="2957" t="s">
        <v>3213</v>
      </c>
      <c r="AB16" s="2957" t="s">
        <v>3214</v>
      </c>
      <c r="AC16" s="2957" t="s">
        <v>3129</v>
      </c>
      <c r="AD16" s="2957" t="s">
        <v>3215</v>
      </c>
      <c r="AE16" s="2957">
        <v>9306.7999999999993</v>
      </c>
      <c r="AF16" s="2957">
        <v>23267</v>
      </c>
      <c r="AG16" s="2957">
        <v>40000</v>
      </c>
      <c r="AH16" s="2957">
        <v>300</v>
      </c>
      <c r="AI16" s="2957">
        <v>515.76</v>
      </c>
      <c r="AJ16" s="2957">
        <v>2368.4499999999998</v>
      </c>
      <c r="AK16" s="2959">
        <v>4071.78</v>
      </c>
      <c r="AL16" s="2957" t="s">
        <v>1331</v>
      </c>
      <c r="AM16" s="2957" t="s">
        <v>1331</v>
      </c>
      <c r="AN16" s="2957">
        <v>71.92</v>
      </c>
      <c r="AO16" s="2957" t="s">
        <v>3149</v>
      </c>
      <c r="AP16" s="2957" t="s">
        <v>1331</v>
      </c>
      <c r="AQ16" s="2957" t="s">
        <v>1331</v>
      </c>
      <c r="AR16" s="2957" t="s">
        <v>1331</v>
      </c>
      <c r="AU16" s="2957">
        <f t="shared" si="0"/>
        <v>7736</v>
      </c>
    </row>
    <row r="17" spans="1:47" s="2957" customFormat="1" ht="12">
      <c r="A17" s="2957" t="s">
        <v>3216</v>
      </c>
      <c r="B17" s="2957" t="s">
        <v>3116</v>
      </c>
      <c r="C17" s="2957" t="s">
        <v>3117</v>
      </c>
      <c r="D17" s="2957" t="s">
        <v>3118</v>
      </c>
      <c r="E17" s="2957" t="s">
        <v>1331</v>
      </c>
      <c r="F17" s="2957" t="s">
        <v>3216</v>
      </c>
      <c r="G17" s="2957" t="s">
        <v>3119</v>
      </c>
      <c r="H17" s="2957">
        <v>201731</v>
      </c>
      <c r="I17" s="2957" t="s">
        <v>3153</v>
      </c>
      <c r="J17" s="2957">
        <v>54182</v>
      </c>
      <c r="K17" s="2957">
        <v>108364</v>
      </c>
      <c r="L17" s="2957" t="s">
        <v>3217</v>
      </c>
      <c r="M17" s="2957" t="s">
        <v>1331</v>
      </c>
      <c r="N17" s="2957" t="s">
        <v>3134</v>
      </c>
      <c r="O17" s="2957" t="s">
        <v>3123</v>
      </c>
      <c r="P17" s="2957" t="s">
        <v>1331</v>
      </c>
      <c r="Q17" s="2957" t="s">
        <v>1331</v>
      </c>
      <c r="R17" s="2957" t="s">
        <v>1331</v>
      </c>
      <c r="S17" s="2957" t="s">
        <v>1331</v>
      </c>
      <c r="T17" s="2957" t="s">
        <v>1331</v>
      </c>
      <c r="U17" s="2957" t="s">
        <v>1331</v>
      </c>
      <c r="V17" s="2957" t="s">
        <v>1331</v>
      </c>
      <c r="W17" s="2957" t="s">
        <v>3211</v>
      </c>
      <c r="X17" s="2957" t="s">
        <v>3218</v>
      </c>
      <c r="Y17" s="2957" t="s">
        <v>3219</v>
      </c>
      <c r="Z17" s="2957" t="s">
        <v>3220</v>
      </c>
      <c r="AA17" s="2957" t="s">
        <v>3220</v>
      </c>
      <c r="AB17" s="2957" t="s">
        <v>3221</v>
      </c>
      <c r="AC17" s="2957" t="s">
        <v>3129</v>
      </c>
      <c r="AD17" s="2957" t="s">
        <v>3171</v>
      </c>
      <c r="AE17" s="2957">
        <v>13016.3</v>
      </c>
      <c r="AF17" s="2957">
        <v>13016.29</v>
      </c>
      <c r="AG17" s="2957">
        <v>13030.77</v>
      </c>
      <c r="AH17" s="2957">
        <v>160.16</v>
      </c>
      <c r="AI17" s="2957">
        <v>160.33000000000001</v>
      </c>
      <c r="AJ17" s="2957">
        <v>1201.1600000000001</v>
      </c>
      <c r="AK17" s="2957">
        <v>1202.5</v>
      </c>
      <c r="AL17" s="2957" t="s">
        <v>1331</v>
      </c>
      <c r="AM17" s="2957" t="s">
        <v>1331</v>
      </c>
      <c r="AN17" s="2957">
        <v>0.11</v>
      </c>
      <c r="AO17" s="2957" t="s">
        <v>3131</v>
      </c>
      <c r="AP17" s="2957" t="s">
        <v>1331</v>
      </c>
      <c r="AQ17" s="2957" t="s">
        <v>1331</v>
      </c>
      <c r="AR17" s="2957" t="s">
        <v>1331</v>
      </c>
      <c r="AU17" s="2957">
        <f t="shared" si="0"/>
        <v>2405</v>
      </c>
    </row>
    <row r="18" spans="1:47" s="2957" customFormat="1" ht="12">
      <c r="A18" s="2957" t="s">
        <v>3222</v>
      </c>
      <c r="B18" s="2957" t="s">
        <v>3116</v>
      </c>
      <c r="C18" s="2957" t="s">
        <v>3117</v>
      </c>
      <c r="D18" s="2957" t="s">
        <v>3118</v>
      </c>
      <c r="E18" s="2957" t="s">
        <v>1331</v>
      </c>
      <c r="F18" s="2957" t="s">
        <v>3222</v>
      </c>
      <c r="G18" s="2957" t="s">
        <v>3119</v>
      </c>
      <c r="H18" s="2957">
        <v>201730</v>
      </c>
      <c r="I18" s="2957" t="s">
        <v>3153</v>
      </c>
      <c r="J18" s="2957">
        <v>49824</v>
      </c>
      <c r="K18" s="2957">
        <v>99648</v>
      </c>
      <c r="L18" s="2957" t="s">
        <v>3217</v>
      </c>
      <c r="M18" s="2957" t="s">
        <v>1331</v>
      </c>
      <c r="N18" s="2957" t="s">
        <v>3134</v>
      </c>
      <c r="O18" s="2957" t="s">
        <v>3123</v>
      </c>
      <c r="P18" s="2957" t="s">
        <v>1331</v>
      </c>
      <c r="Q18" s="2957" t="s">
        <v>1331</v>
      </c>
      <c r="R18" s="2957" t="s">
        <v>1331</v>
      </c>
      <c r="S18" s="2957" t="s">
        <v>1331</v>
      </c>
      <c r="T18" s="2957" t="s">
        <v>1331</v>
      </c>
      <c r="U18" s="2957" t="s">
        <v>1331</v>
      </c>
      <c r="V18" s="2957" t="s">
        <v>1331</v>
      </c>
      <c r="W18" s="2957" t="s">
        <v>3211</v>
      </c>
      <c r="X18" s="2957" t="s">
        <v>3218</v>
      </c>
      <c r="Y18" s="2957" t="s">
        <v>3219</v>
      </c>
      <c r="Z18" s="2957" t="s">
        <v>3220</v>
      </c>
      <c r="AA18" s="2957" t="s">
        <v>3220</v>
      </c>
      <c r="AB18" s="2957" t="s">
        <v>3221</v>
      </c>
      <c r="AC18" s="2957" t="s">
        <v>3129</v>
      </c>
      <c r="AD18" s="2957" t="s">
        <v>3171</v>
      </c>
      <c r="AE18" s="2957">
        <v>11972.71</v>
      </c>
      <c r="AF18" s="2957">
        <v>11972.7</v>
      </c>
      <c r="AG18" s="2957">
        <v>11982.67</v>
      </c>
      <c r="AH18" s="2957">
        <v>160.19999999999999</v>
      </c>
      <c r="AI18" s="2957">
        <v>160.33000000000001</v>
      </c>
      <c r="AJ18" s="2957">
        <v>1201.5</v>
      </c>
      <c r="AK18" s="2957">
        <v>1202.5</v>
      </c>
      <c r="AL18" s="2957" t="s">
        <v>1331</v>
      </c>
      <c r="AM18" s="2957" t="s">
        <v>1331</v>
      </c>
      <c r="AN18" s="2957">
        <v>0.08</v>
      </c>
      <c r="AO18" s="2957" t="s">
        <v>3131</v>
      </c>
      <c r="AP18" s="2957" t="s">
        <v>1331</v>
      </c>
      <c r="AQ18" s="2957" t="s">
        <v>1331</v>
      </c>
      <c r="AR18" s="2957" t="s">
        <v>1331</v>
      </c>
      <c r="AU18" s="2957">
        <f t="shared" si="0"/>
        <v>2405</v>
      </c>
    </row>
    <row r="19" spans="1:47" s="2957" customFormat="1" ht="12">
      <c r="A19" s="2957" t="s">
        <v>3223</v>
      </c>
      <c r="B19" s="2957" t="s">
        <v>3116</v>
      </c>
      <c r="C19" s="2957" t="s">
        <v>3117</v>
      </c>
      <c r="D19" s="2957" t="s">
        <v>3118</v>
      </c>
      <c r="E19" s="2957" t="s">
        <v>1331</v>
      </c>
      <c r="F19" s="2957" t="s">
        <v>3223</v>
      </c>
      <c r="G19" s="2957" t="s">
        <v>3119</v>
      </c>
      <c r="H19" s="2957">
        <v>201732</v>
      </c>
      <c r="I19" s="2957" t="s">
        <v>3153</v>
      </c>
      <c r="J19" s="2957">
        <v>56674</v>
      </c>
      <c r="K19" s="2957">
        <v>113348</v>
      </c>
      <c r="L19" s="2957" t="s">
        <v>3217</v>
      </c>
      <c r="M19" s="2957" t="s">
        <v>1331</v>
      </c>
      <c r="N19" s="2957" t="s">
        <v>3134</v>
      </c>
      <c r="O19" s="2957" t="s">
        <v>3123</v>
      </c>
      <c r="P19" s="2957" t="s">
        <v>1331</v>
      </c>
      <c r="Q19" s="2957" t="s">
        <v>1331</v>
      </c>
      <c r="R19" s="2957" t="s">
        <v>1331</v>
      </c>
      <c r="S19" s="2957" t="s">
        <v>1331</v>
      </c>
      <c r="T19" s="2957" t="s">
        <v>1331</v>
      </c>
      <c r="U19" s="2957" t="s">
        <v>1331</v>
      </c>
      <c r="V19" s="2957" t="s">
        <v>1331</v>
      </c>
      <c r="W19" s="2957" t="s">
        <v>3211</v>
      </c>
      <c r="X19" s="2957" t="s">
        <v>3218</v>
      </c>
      <c r="Y19" s="2957" t="s">
        <v>3219</v>
      </c>
      <c r="Z19" s="2957" t="s">
        <v>3220</v>
      </c>
      <c r="AA19" s="2957" t="s">
        <v>3220</v>
      </c>
      <c r="AB19" s="2957" t="s">
        <v>3221</v>
      </c>
      <c r="AC19" s="2957" t="s">
        <v>3129</v>
      </c>
      <c r="AD19" s="2957" t="s">
        <v>3171</v>
      </c>
      <c r="AE19" s="2957">
        <v>13596.09</v>
      </c>
      <c r="AF19" s="2957">
        <v>13596.09</v>
      </c>
      <c r="AG19" s="2957">
        <v>13670.43</v>
      </c>
      <c r="AH19" s="2957">
        <v>159.93</v>
      </c>
      <c r="AI19" s="2957">
        <v>160.81</v>
      </c>
      <c r="AJ19" s="2957">
        <v>1199.49</v>
      </c>
      <c r="AK19" s="2957">
        <v>1206.05</v>
      </c>
      <c r="AL19" s="2957" t="s">
        <v>1331</v>
      </c>
      <c r="AM19" s="2957" t="s">
        <v>1331</v>
      </c>
      <c r="AN19" s="2957">
        <v>0.55000000000000004</v>
      </c>
      <c r="AO19" s="2957" t="s">
        <v>3131</v>
      </c>
      <c r="AP19" s="2957" t="s">
        <v>1331</v>
      </c>
      <c r="AQ19" s="2957" t="s">
        <v>1331</v>
      </c>
      <c r="AR19" s="2957" t="s">
        <v>1331</v>
      </c>
      <c r="AU19" s="2957">
        <f t="shared" si="0"/>
        <v>2412</v>
      </c>
    </row>
    <row r="20" spans="1:47" s="2957" customFormat="1" ht="12">
      <c r="A20" s="2957" t="s">
        <v>3224</v>
      </c>
      <c r="B20" s="2957" t="s">
        <v>3116</v>
      </c>
      <c r="C20" s="2957" t="s">
        <v>3117</v>
      </c>
      <c r="D20" s="2957" t="s">
        <v>3118</v>
      </c>
      <c r="E20" s="2957" t="s">
        <v>1331</v>
      </c>
      <c r="F20" s="2957" t="s">
        <v>3224</v>
      </c>
      <c r="G20" s="2957" t="s">
        <v>3119</v>
      </c>
      <c r="H20" s="2957">
        <v>201729</v>
      </c>
      <c r="I20" s="2957" t="s">
        <v>3153</v>
      </c>
      <c r="J20" s="2957">
        <v>30318</v>
      </c>
      <c r="K20" s="2957">
        <v>60636</v>
      </c>
      <c r="L20" s="2957" t="s">
        <v>3217</v>
      </c>
      <c r="M20" s="2957" t="s">
        <v>1331</v>
      </c>
      <c r="N20" s="2957" t="s">
        <v>3134</v>
      </c>
      <c r="O20" s="2957" t="s">
        <v>3123</v>
      </c>
      <c r="P20" s="2957" t="s">
        <v>1331</v>
      </c>
      <c r="Q20" s="2957" t="s">
        <v>1331</v>
      </c>
      <c r="R20" s="2957" t="s">
        <v>1331</v>
      </c>
      <c r="S20" s="2957" t="s">
        <v>1331</v>
      </c>
      <c r="T20" s="2957" t="s">
        <v>1331</v>
      </c>
      <c r="U20" s="2957" t="s">
        <v>1331</v>
      </c>
      <c r="V20" s="2957" t="s">
        <v>1331</v>
      </c>
      <c r="W20" s="2957" t="s">
        <v>3211</v>
      </c>
      <c r="X20" s="2957" t="s">
        <v>3218</v>
      </c>
      <c r="Y20" s="2957" t="s">
        <v>3219</v>
      </c>
      <c r="Z20" s="2957" t="s">
        <v>3220</v>
      </c>
      <c r="AA20" s="2957" t="s">
        <v>3220</v>
      </c>
      <c r="AB20" s="2957" t="s">
        <v>3221</v>
      </c>
      <c r="AC20" s="2957" t="s">
        <v>3129</v>
      </c>
      <c r="AD20" s="2957" t="s">
        <v>3171</v>
      </c>
      <c r="AE20" s="2957">
        <v>7259.13</v>
      </c>
      <c r="AF20" s="2957">
        <v>7259.13</v>
      </c>
      <c r="AG20" s="2957">
        <v>7267.22</v>
      </c>
      <c r="AH20" s="2957">
        <v>159.62</v>
      </c>
      <c r="AI20" s="2957">
        <v>159.80000000000001</v>
      </c>
      <c r="AJ20" s="2957">
        <v>1197.1600000000001</v>
      </c>
      <c r="AK20" s="2957">
        <v>1198.5</v>
      </c>
      <c r="AL20" s="2957" t="s">
        <v>1331</v>
      </c>
      <c r="AM20" s="2957" t="s">
        <v>1331</v>
      </c>
      <c r="AN20" s="2957">
        <v>0.11</v>
      </c>
      <c r="AO20" s="2957" t="s">
        <v>3131</v>
      </c>
      <c r="AP20" s="2957" t="s">
        <v>1331</v>
      </c>
      <c r="AQ20" s="2957" t="s">
        <v>1331</v>
      </c>
      <c r="AR20" s="2957" t="s">
        <v>1331</v>
      </c>
      <c r="AU20" s="2957">
        <f t="shared" si="0"/>
        <v>2397</v>
      </c>
    </row>
    <row r="21" spans="1:47" s="2957" customFormat="1" ht="12">
      <c r="A21" s="2957" t="s">
        <v>3225</v>
      </c>
      <c r="B21" s="2957" t="s">
        <v>3116</v>
      </c>
      <c r="C21" s="2957" t="s">
        <v>3138</v>
      </c>
      <c r="D21" s="2957" t="s">
        <v>3139</v>
      </c>
      <c r="E21" s="2957" t="s">
        <v>1331</v>
      </c>
      <c r="F21" s="2957" t="s">
        <v>3225</v>
      </c>
      <c r="G21" s="2957" t="s">
        <v>3140</v>
      </c>
      <c r="H21" s="2957" t="s">
        <v>3226</v>
      </c>
      <c r="I21" s="2957" t="s">
        <v>3142</v>
      </c>
      <c r="J21" s="2957">
        <v>851896.1</v>
      </c>
      <c r="K21" s="2957">
        <v>1490818</v>
      </c>
      <c r="L21" s="2957" t="s">
        <v>3227</v>
      </c>
      <c r="M21" s="2957" t="s">
        <v>1331</v>
      </c>
      <c r="N21" s="2957" t="s">
        <v>1331</v>
      </c>
      <c r="O21" s="2957" t="s">
        <v>1331</v>
      </c>
      <c r="P21" s="2957" t="s">
        <v>1331</v>
      </c>
      <c r="Q21" s="2957" t="s">
        <v>1331</v>
      </c>
      <c r="R21" s="2957" t="s">
        <v>1331</v>
      </c>
      <c r="S21" s="2957" t="s">
        <v>1331</v>
      </c>
      <c r="T21" s="2957" t="s">
        <v>1331</v>
      </c>
      <c r="U21" s="2957" t="s">
        <v>1331</v>
      </c>
      <c r="V21" s="2957" t="s">
        <v>1331</v>
      </c>
      <c r="W21" s="2957" t="s">
        <v>3211</v>
      </c>
      <c r="X21" s="2957" t="s">
        <v>3228</v>
      </c>
      <c r="Y21" s="2957" t="s">
        <v>3229</v>
      </c>
      <c r="Z21" s="2957" t="s">
        <v>3230</v>
      </c>
      <c r="AA21" s="2957" t="s">
        <v>3230</v>
      </c>
      <c r="AB21" s="2957" t="s">
        <v>3231</v>
      </c>
      <c r="AC21" s="2957" t="s">
        <v>3129</v>
      </c>
      <c r="AD21" s="2957" t="s">
        <v>3232</v>
      </c>
      <c r="AE21" s="2957">
        <v>46400</v>
      </c>
      <c r="AF21" s="2957">
        <v>232000</v>
      </c>
      <c r="AG21" s="2957">
        <v>233000</v>
      </c>
      <c r="AH21" s="2957">
        <v>181.56</v>
      </c>
      <c r="AI21" s="2957">
        <v>182.34</v>
      </c>
      <c r="AJ21" s="2957">
        <v>1556.19</v>
      </c>
      <c r="AK21" s="2957">
        <v>1562.9</v>
      </c>
      <c r="AL21" s="2957" t="s">
        <v>1331</v>
      </c>
      <c r="AM21" s="2957" t="s">
        <v>1331</v>
      </c>
      <c r="AN21" s="2957">
        <v>0.43</v>
      </c>
      <c r="AO21" s="2957" t="s">
        <v>3233</v>
      </c>
      <c r="AP21" s="2957" t="s">
        <v>1331</v>
      </c>
      <c r="AQ21" s="2957" t="s">
        <v>1331</v>
      </c>
      <c r="AR21" s="2957" t="s">
        <v>1331</v>
      </c>
      <c r="AU21" s="2957">
        <f t="shared" si="0"/>
        <v>2735</v>
      </c>
    </row>
    <row r="22" spans="1:47" s="2957" customFormat="1" ht="12">
      <c r="A22" s="2957" t="s">
        <v>3234</v>
      </c>
      <c r="B22" s="2957" t="s">
        <v>3116</v>
      </c>
      <c r="C22" s="2957" t="s">
        <v>3138</v>
      </c>
      <c r="D22" s="2957" t="s">
        <v>3069</v>
      </c>
      <c r="E22" s="2957" t="s">
        <v>1331</v>
      </c>
      <c r="F22" s="2957" t="s">
        <v>3234</v>
      </c>
      <c r="G22" s="2957" t="s">
        <v>3119</v>
      </c>
      <c r="H22" s="2957" t="s">
        <v>3235</v>
      </c>
      <c r="I22" s="2957" t="s">
        <v>3236</v>
      </c>
      <c r="J22" s="2957">
        <v>27061.200000000001</v>
      </c>
      <c r="K22" s="2957">
        <v>129893.8</v>
      </c>
      <c r="L22" s="2957" t="s">
        <v>3237</v>
      </c>
      <c r="M22" s="2957" t="s">
        <v>3238</v>
      </c>
      <c r="N22" s="2957" t="s">
        <v>3239</v>
      </c>
      <c r="O22" s="2957" t="s">
        <v>3240</v>
      </c>
      <c r="P22" s="2957" t="s">
        <v>1331</v>
      </c>
      <c r="Q22" s="2957" t="s">
        <v>1331</v>
      </c>
      <c r="R22" s="2957" t="s">
        <v>1331</v>
      </c>
      <c r="S22" s="2957" t="s">
        <v>1331</v>
      </c>
      <c r="T22" s="2957" t="s">
        <v>1331</v>
      </c>
      <c r="U22" s="2957" t="s">
        <v>1331</v>
      </c>
      <c r="V22" s="2957" t="s">
        <v>1331</v>
      </c>
      <c r="W22" s="2957" t="s">
        <v>3211</v>
      </c>
      <c r="X22" s="2957" t="s">
        <v>3241</v>
      </c>
      <c r="Y22" s="2957" t="s">
        <v>3242</v>
      </c>
      <c r="Z22" s="2957" t="s">
        <v>3243</v>
      </c>
      <c r="AA22" s="2957" t="s">
        <v>3243</v>
      </c>
      <c r="AB22" s="2957" t="s">
        <v>3244</v>
      </c>
      <c r="AC22" s="2957" t="s">
        <v>3129</v>
      </c>
      <c r="AD22" s="2957" t="s">
        <v>3136</v>
      </c>
      <c r="AE22" s="2957">
        <v>6250</v>
      </c>
      <c r="AF22" s="2957">
        <v>12600</v>
      </c>
      <c r="AG22" s="2957">
        <v>12600</v>
      </c>
      <c r="AH22" s="2957">
        <v>310.41000000000003</v>
      </c>
      <c r="AI22" s="2957">
        <v>310.41000000000003</v>
      </c>
      <c r="AJ22" s="2957">
        <v>970.02</v>
      </c>
      <c r="AK22" s="2957">
        <v>970.01</v>
      </c>
      <c r="AL22" s="2957" t="s">
        <v>1331</v>
      </c>
      <c r="AM22" s="2957" t="s">
        <v>1331</v>
      </c>
      <c r="AN22" s="2957">
        <v>0</v>
      </c>
      <c r="AO22" s="2957" t="s">
        <v>3245</v>
      </c>
      <c r="AP22" s="2957" t="s">
        <v>1331</v>
      </c>
      <c r="AQ22" s="2957" t="s">
        <v>1331</v>
      </c>
      <c r="AR22" s="2957" t="s">
        <v>1331</v>
      </c>
      <c r="AU22" s="2957">
        <f t="shared" si="0"/>
        <v>4656</v>
      </c>
    </row>
    <row r="23" spans="1:47" s="2957" customFormat="1" ht="12">
      <c r="A23" s="2957" t="s">
        <v>3246</v>
      </c>
      <c r="B23" s="2957" t="s">
        <v>3116</v>
      </c>
      <c r="C23" s="2957" t="s">
        <v>3138</v>
      </c>
      <c r="D23" s="2957" t="s">
        <v>3139</v>
      </c>
      <c r="E23" s="2957" t="s">
        <v>1331</v>
      </c>
      <c r="F23" s="2957" t="s">
        <v>3246</v>
      </c>
      <c r="G23" s="2957" t="s">
        <v>3119</v>
      </c>
      <c r="H23" s="2957" t="s">
        <v>3247</v>
      </c>
      <c r="I23" s="2957" t="s">
        <v>3236</v>
      </c>
      <c r="J23" s="2957">
        <v>16149.39</v>
      </c>
      <c r="K23" s="2957">
        <v>40373.480000000003</v>
      </c>
      <c r="L23" s="2957" t="s">
        <v>3248</v>
      </c>
      <c r="M23" s="2957" t="s">
        <v>3249</v>
      </c>
      <c r="N23" s="2957" t="s">
        <v>3250</v>
      </c>
      <c r="O23" s="2957" t="s">
        <v>3251</v>
      </c>
      <c r="P23" s="2957" t="s">
        <v>1331</v>
      </c>
      <c r="Q23" s="2957" t="s">
        <v>1331</v>
      </c>
      <c r="R23" s="2957" t="s">
        <v>1331</v>
      </c>
      <c r="S23" s="2957" t="s">
        <v>1331</v>
      </c>
      <c r="T23" s="2957" t="s">
        <v>1331</v>
      </c>
      <c r="U23" s="2957" t="s">
        <v>1331</v>
      </c>
      <c r="V23" s="2957" t="s">
        <v>1331</v>
      </c>
      <c r="W23" s="2957" t="s">
        <v>3211</v>
      </c>
      <c r="X23" s="2957" t="s">
        <v>3252</v>
      </c>
      <c r="Y23" s="2957" t="s">
        <v>3253</v>
      </c>
      <c r="Z23" s="2957" t="s">
        <v>3254</v>
      </c>
      <c r="AA23" s="2957" t="s">
        <v>3254</v>
      </c>
      <c r="AB23" s="2957" t="s">
        <v>3255</v>
      </c>
      <c r="AC23" s="2957" t="s">
        <v>3129</v>
      </c>
      <c r="AD23" s="2957" t="s">
        <v>3256</v>
      </c>
      <c r="AE23" s="2957">
        <v>1000</v>
      </c>
      <c r="AF23" s="2957">
        <v>3755</v>
      </c>
      <c r="AG23" s="2957">
        <v>3755</v>
      </c>
      <c r="AH23" s="2957">
        <v>155.01</v>
      </c>
      <c r="AI23" s="2957">
        <v>155.01</v>
      </c>
      <c r="AJ23" s="2957">
        <v>930.06</v>
      </c>
      <c r="AK23" s="2957">
        <v>930.07</v>
      </c>
      <c r="AL23" s="2957" t="s">
        <v>1331</v>
      </c>
      <c r="AM23" s="2957" t="s">
        <v>1331</v>
      </c>
      <c r="AN23" s="2957">
        <v>0</v>
      </c>
      <c r="AO23" s="2957" t="s">
        <v>3257</v>
      </c>
      <c r="AP23" s="2957" t="s">
        <v>1331</v>
      </c>
      <c r="AQ23" s="2957" t="s">
        <v>1331</v>
      </c>
      <c r="AR23" s="2957" t="s">
        <v>1331</v>
      </c>
      <c r="AU23" s="2957">
        <f t="shared" si="0"/>
        <v>2325</v>
      </c>
    </row>
    <row r="24" spans="1:47" s="2957" customFormat="1" ht="12">
      <c r="A24" s="2957" t="s">
        <v>3258</v>
      </c>
      <c r="B24" s="2957" t="s">
        <v>3116</v>
      </c>
      <c r="C24" s="2957" t="s">
        <v>3138</v>
      </c>
      <c r="D24" s="2957" t="s">
        <v>3139</v>
      </c>
      <c r="E24" s="2957" t="s">
        <v>1331</v>
      </c>
      <c r="F24" s="2957" t="s">
        <v>3258</v>
      </c>
      <c r="G24" s="2957" t="s">
        <v>3119</v>
      </c>
      <c r="H24" s="2957" t="s">
        <v>3259</v>
      </c>
      <c r="I24" s="2957" t="s">
        <v>3260</v>
      </c>
      <c r="J24" s="2957">
        <v>2869.5</v>
      </c>
      <c r="K24" s="2957">
        <v>12051.9</v>
      </c>
      <c r="L24" s="2957" t="s">
        <v>3261</v>
      </c>
      <c r="M24" s="2957" t="s">
        <v>3262</v>
      </c>
      <c r="N24" s="2957" t="s">
        <v>3250</v>
      </c>
      <c r="O24" s="2957" t="s">
        <v>3263</v>
      </c>
      <c r="P24" s="2957" t="s">
        <v>1331</v>
      </c>
      <c r="Q24" s="2957" t="s">
        <v>1331</v>
      </c>
      <c r="R24" s="2957" t="s">
        <v>1331</v>
      </c>
      <c r="S24" s="2957" t="s">
        <v>1331</v>
      </c>
      <c r="T24" s="2957" t="s">
        <v>1331</v>
      </c>
      <c r="U24" s="2957" t="s">
        <v>1331</v>
      </c>
      <c r="V24" s="2957" t="s">
        <v>1331</v>
      </c>
      <c r="W24" s="2957" t="s">
        <v>3211</v>
      </c>
      <c r="X24" s="2957" t="s">
        <v>3264</v>
      </c>
      <c r="Y24" s="2957" t="s">
        <v>3265</v>
      </c>
      <c r="Z24" s="2957" t="s">
        <v>3266</v>
      </c>
      <c r="AA24" s="2957" t="s">
        <v>3266</v>
      </c>
      <c r="AB24" s="2957" t="s">
        <v>3267</v>
      </c>
      <c r="AC24" s="2957" t="s">
        <v>3129</v>
      </c>
      <c r="AD24" s="2957" t="s">
        <v>3268</v>
      </c>
      <c r="AE24" s="2957">
        <v>1000</v>
      </c>
      <c r="AF24" s="2957">
        <v>1315</v>
      </c>
      <c r="AG24" s="2957">
        <v>1315</v>
      </c>
      <c r="AH24" s="2957">
        <v>305.51</v>
      </c>
      <c r="AI24" s="2957">
        <v>305.51</v>
      </c>
      <c r="AJ24" s="2957">
        <v>1091.1099999999999</v>
      </c>
      <c r="AK24" s="2957">
        <v>1091.0999999999999</v>
      </c>
      <c r="AL24" s="2957" t="s">
        <v>1331</v>
      </c>
      <c r="AM24" s="2957" t="s">
        <v>1331</v>
      </c>
      <c r="AN24" s="2957">
        <v>0</v>
      </c>
      <c r="AO24" s="2957" t="s">
        <v>3269</v>
      </c>
      <c r="AP24" s="2957" t="s">
        <v>1331</v>
      </c>
      <c r="AQ24" s="2957" t="s">
        <v>1331</v>
      </c>
      <c r="AR24" s="2957" t="s">
        <v>1331</v>
      </c>
      <c r="AU24" s="2957">
        <f t="shared" si="0"/>
        <v>4583</v>
      </c>
    </row>
    <row r="25" spans="1:47" s="2957" customFormat="1" ht="12">
      <c r="A25" s="2957" t="s">
        <v>3270</v>
      </c>
      <c r="B25" s="2957" t="s">
        <v>3116</v>
      </c>
      <c r="C25" s="2957" t="s">
        <v>3138</v>
      </c>
      <c r="D25" s="2957" t="s">
        <v>3139</v>
      </c>
      <c r="E25" s="2957" t="s">
        <v>1331</v>
      </c>
      <c r="F25" s="2957" t="s">
        <v>3270</v>
      </c>
      <c r="G25" s="2957" t="s">
        <v>3119</v>
      </c>
      <c r="H25" s="2957" t="s">
        <v>3271</v>
      </c>
      <c r="I25" s="2957" t="s">
        <v>3272</v>
      </c>
      <c r="J25" s="2957">
        <v>56550.17</v>
      </c>
      <c r="K25" s="2957">
        <v>186615.6</v>
      </c>
      <c r="L25" s="2957" t="s">
        <v>3273</v>
      </c>
      <c r="M25" s="2957" t="s">
        <v>1331</v>
      </c>
      <c r="N25" s="2957" t="s">
        <v>3274</v>
      </c>
      <c r="O25" s="2957" t="s">
        <v>3275</v>
      </c>
      <c r="P25" s="2957" t="s">
        <v>1331</v>
      </c>
      <c r="Q25" s="2957" t="s">
        <v>1331</v>
      </c>
      <c r="R25" s="2957" t="s">
        <v>1331</v>
      </c>
      <c r="S25" s="2957" t="s">
        <v>1331</v>
      </c>
      <c r="T25" s="2957" t="s">
        <v>1331</v>
      </c>
      <c r="U25" s="2957" t="s">
        <v>1331</v>
      </c>
      <c r="V25" s="2957" t="s">
        <v>1331</v>
      </c>
      <c r="W25" s="2957" t="s">
        <v>3211</v>
      </c>
      <c r="X25" s="2957" t="s">
        <v>3276</v>
      </c>
      <c r="Y25" s="2957" t="s">
        <v>3277</v>
      </c>
      <c r="Z25" s="2957" t="s">
        <v>3278</v>
      </c>
      <c r="AA25" s="2957" t="s">
        <v>3278</v>
      </c>
      <c r="AB25" s="2957" t="s">
        <v>3279</v>
      </c>
      <c r="AC25" s="2957" t="s">
        <v>3129</v>
      </c>
      <c r="AD25" s="2957" t="s">
        <v>3280</v>
      </c>
      <c r="AE25" s="2957">
        <v>9500</v>
      </c>
      <c r="AF25" s="2957">
        <v>19006</v>
      </c>
      <c r="AG25" s="2957">
        <v>19006</v>
      </c>
      <c r="AH25" s="2957">
        <v>224.06</v>
      </c>
      <c r="AI25" s="2957">
        <v>224.06</v>
      </c>
      <c r="AJ25" s="2957">
        <v>1018.45</v>
      </c>
      <c r="AK25" s="2957">
        <v>1018.46</v>
      </c>
      <c r="AL25" s="2957" t="s">
        <v>1331</v>
      </c>
      <c r="AM25" s="2957" t="s">
        <v>1331</v>
      </c>
      <c r="AN25" s="2957">
        <v>0</v>
      </c>
      <c r="AO25" s="2957" t="s">
        <v>3281</v>
      </c>
      <c r="AP25" s="2957" t="s">
        <v>1331</v>
      </c>
      <c r="AQ25" s="2957" t="s">
        <v>1331</v>
      </c>
      <c r="AR25" s="2957" t="s">
        <v>1331</v>
      </c>
      <c r="AU25" s="2957">
        <f t="shared" si="0"/>
        <v>3361</v>
      </c>
    </row>
    <row r="26" spans="1:47" s="2957" customFormat="1" ht="12">
      <c r="A26" s="2957" t="s">
        <v>3282</v>
      </c>
      <c r="B26" s="2957" t="s">
        <v>3116</v>
      </c>
      <c r="C26" s="2957" t="s">
        <v>3117</v>
      </c>
      <c r="D26" s="2957" t="s">
        <v>3118</v>
      </c>
      <c r="E26" s="2957" t="s">
        <v>1331</v>
      </c>
      <c r="F26" s="2957" t="s">
        <v>3282</v>
      </c>
      <c r="G26" s="2957" t="s">
        <v>3119</v>
      </c>
      <c r="H26" s="2957">
        <v>201621</v>
      </c>
      <c r="I26" s="2957" t="s">
        <v>3153</v>
      </c>
      <c r="J26" s="2957">
        <v>16250</v>
      </c>
      <c r="K26" s="2957">
        <v>48750</v>
      </c>
      <c r="L26" s="2957" t="s">
        <v>3283</v>
      </c>
      <c r="M26" s="2957" t="s">
        <v>1331</v>
      </c>
      <c r="N26" s="2957" t="s">
        <v>3284</v>
      </c>
      <c r="O26" s="2957" t="s">
        <v>3123</v>
      </c>
      <c r="P26" s="2957" t="s">
        <v>1331</v>
      </c>
      <c r="Q26" s="2957" t="s">
        <v>1331</v>
      </c>
      <c r="R26" s="2957" t="s">
        <v>1331</v>
      </c>
      <c r="S26" s="2957" t="s">
        <v>1331</v>
      </c>
      <c r="T26" s="2957" t="s">
        <v>1331</v>
      </c>
      <c r="U26" s="2957" t="s">
        <v>1331</v>
      </c>
      <c r="V26" s="2957" t="s">
        <v>1331</v>
      </c>
      <c r="W26" s="2957" t="s">
        <v>3211</v>
      </c>
      <c r="X26" s="2957" t="s">
        <v>3285</v>
      </c>
      <c r="Y26" s="2957" t="s">
        <v>3286</v>
      </c>
      <c r="Z26" s="2957" t="s">
        <v>3287</v>
      </c>
      <c r="AA26" s="2957" t="s">
        <v>3287</v>
      </c>
      <c r="AB26" s="2957" t="s">
        <v>3288</v>
      </c>
      <c r="AC26" s="2957" t="s">
        <v>3129</v>
      </c>
      <c r="AD26" s="2957" t="s">
        <v>3289</v>
      </c>
      <c r="AE26" s="2957">
        <v>1234.19</v>
      </c>
      <c r="AF26" s="2957">
        <v>2468.38</v>
      </c>
      <c r="AG26" s="2957">
        <v>2468.38</v>
      </c>
      <c r="AH26" s="2957">
        <v>101.27</v>
      </c>
      <c r="AI26" s="2957">
        <v>101.27</v>
      </c>
      <c r="AJ26" s="2957">
        <v>506.33</v>
      </c>
      <c r="AK26" s="2957">
        <v>506.32</v>
      </c>
      <c r="AL26" s="2957" t="s">
        <v>1331</v>
      </c>
      <c r="AM26" s="2957" t="s">
        <v>1331</v>
      </c>
      <c r="AN26" s="2957">
        <v>0</v>
      </c>
      <c r="AO26" s="2957" t="s">
        <v>3131</v>
      </c>
      <c r="AP26" s="2957" t="s">
        <v>1331</v>
      </c>
      <c r="AQ26" s="2957" t="s">
        <v>1331</v>
      </c>
      <c r="AR26" s="2957" t="s">
        <v>1331</v>
      </c>
      <c r="AU26" s="2957">
        <f t="shared" si="0"/>
        <v>1519</v>
      </c>
    </row>
    <row r="27" spans="1:47" s="2957" customFormat="1" ht="12">
      <c r="A27" s="2957" t="s">
        <v>3290</v>
      </c>
      <c r="B27" s="2957" t="s">
        <v>3116</v>
      </c>
      <c r="C27" s="2957" t="s">
        <v>3117</v>
      </c>
      <c r="D27" s="2957" t="s">
        <v>3118</v>
      </c>
      <c r="E27" s="2957" t="s">
        <v>1331</v>
      </c>
      <c r="F27" s="2957" t="s">
        <v>3290</v>
      </c>
      <c r="G27" s="2957" t="s">
        <v>3119</v>
      </c>
      <c r="H27" s="2957">
        <v>201606</v>
      </c>
      <c r="I27" s="2957" t="s">
        <v>3153</v>
      </c>
      <c r="J27" s="2957">
        <v>339</v>
      </c>
      <c r="K27" s="2957">
        <v>508.5</v>
      </c>
      <c r="L27" s="2957" t="s">
        <v>3291</v>
      </c>
      <c r="M27" s="2957" t="s">
        <v>1331</v>
      </c>
      <c r="N27" s="2957" t="s">
        <v>3188</v>
      </c>
      <c r="O27" s="2957" t="s">
        <v>3292</v>
      </c>
      <c r="P27" s="2957" t="s">
        <v>1331</v>
      </c>
      <c r="Q27" s="2957" t="s">
        <v>1331</v>
      </c>
      <c r="R27" s="2957" t="s">
        <v>1331</v>
      </c>
      <c r="S27" s="2957" t="s">
        <v>1331</v>
      </c>
      <c r="T27" s="2957" t="s">
        <v>1331</v>
      </c>
      <c r="U27" s="2957" t="s">
        <v>1331</v>
      </c>
      <c r="V27" s="2957" t="s">
        <v>1331</v>
      </c>
      <c r="W27" s="2957" t="s">
        <v>3211</v>
      </c>
      <c r="X27" s="2957" t="s">
        <v>3285</v>
      </c>
      <c r="Y27" s="2957" t="s">
        <v>3286</v>
      </c>
      <c r="Z27" s="2957" t="s">
        <v>3287</v>
      </c>
      <c r="AA27" s="2957" t="s">
        <v>3287</v>
      </c>
      <c r="AB27" s="2957" t="s">
        <v>3288</v>
      </c>
      <c r="AC27" s="2957" t="s">
        <v>3129</v>
      </c>
      <c r="AD27" s="2957" t="s">
        <v>3293</v>
      </c>
      <c r="AE27" s="2957">
        <v>29.12</v>
      </c>
      <c r="AF27" s="2957">
        <v>29.12</v>
      </c>
      <c r="AG27" s="2957">
        <v>29.12</v>
      </c>
      <c r="AH27" s="2957">
        <v>57.27</v>
      </c>
      <c r="AI27" s="2957">
        <v>57.27</v>
      </c>
      <c r="AJ27" s="2957">
        <v>572.66</v>
      </c>
      <c r="AK27" s="2957">
        <v>572.65</v>
      </c>
      <c r="AL27" s="2957" t="s">
        <v>1331</v>
      </c>
      <c r="AM27" s="2957" t="s">
        <v>1331</v>
      </c>
      <c r="AN27" s="2957">
        <v>0</v>
      </c>
      <c r="AO27" s="2957" t="s">
        <v>3131</v>
      </c>
      <c r="AP27" s="2957" t="s">
        <v>1331</v>
      </c>
      <c r="AQ27" s="2957" t="s">
        <v>1331</v>
      </c>
      <c r="AR27" s="2957" t="s">
        <v>1331</v>
      </c>
      <c r="AU27" s="2957">
        <f t="shared" si="0"/>
        <v>859</v>
      </c>
    </row>
    <row r="28" spans="1:47" s="2957" customFormat="1" ht="12">
      <c r="A28" s="2957" t="s">
        <v>3294</v>
      </c>
      <c r="B28" s="2957" t="s">
        <v>3116</v>
      </c>
      <c r="C28" s="2957" t="s">
        <v>3117</v>
      </c>
      <c r="D28" s="2957" t="s">
        <v>3118</v>
      </c>
      <c r="E28" s="2957" t="s">
        <v>1331</v>
      </c>
      <c r="F28" s="2957" t="s">
        <v>3294</v>
      </c>
      <c r="G28" s="2957" t="s">
        <v>3119</v>
      </c>
      <c r="H28" s="2957">
        <v>201613</v>
      </c>
      <c r="I28" s="2957" t="s">
        <v>3153</v>
      </c>
      <c r="J28" s="2957">
        <v>5334.3</v>
      </c>
      <c r="K28" s="2957">
        <v>21337.200000000001</v>
      </c>
      <c r="L28" s="2957" t="s">
        <v>3295</v>
      </c>
      <c r="M28" s="2957" t="s">
        <v>1331</v>
      </c>
      <c r="N28" s="2957" t="s">
        <v>3122</v>
      </c>
      <c r="O28" s="2957" t="s">
        <v>3188</v>
      </c>
      <c r="P28" s="2957" t="s">
        <v>1331</v>
      </c>
      <c r="Q28" s="2957" t="s">
        <v>1331</v>
      </c>
      <c r="R28" s="2957" t="s">
        <v>1331</v>
      </c>
      <c r="S28" s="2957" t="s">
        <v>1331</v>
      </c>
      <c r="T28" s="2957" t="s">
        <v>1331</v>
      </c>
      <c r="U28" s="2957" t="s">
        <v>1331</v>
      </c>
      <c r="V28" s="2957" t="s">
        <v>1331</v>
      </c>
      <c r="W28" s="2957" t="s">
        <v>3211</v>
      </c>
      <c r="X28" s="2957" t="s">
        <v>3285</v>
      </c>
      <c r="Y28" s="2957" t="s">
        <v>3286</v>
      </c>
      <c r="Z28" s="2957" t="s">
        <v>3287</v>
      </c>
      <c r="AA28" s="2957" t="s">
        <v>3287</v>
      </c>
      <c r="AB28" s="2957" t="s">
        <v>3288</v>
      </c>
      <c r="AC28" s="2957" t="s">
        <v>3129</v>
      </c>
      <c r="AD28" s="2957" t="s">
        <v>3296</v>
      </c>
      <c r="AE28" s="2957">
        <v>707.86</v>
      </c>
      <c r="AF28" s="2957">
        <v>707.86</v>
      </c>
      <c r="AG28" s="2957">
        <v>707.86</v>
      </c>
      <c r="AH28" s="2957">
        <v>88.47</v>
      </c>
      <c r="AI28" s="2957">
        <v>88.47</v>
      </c>
      <c r="AJ28" s="2957">
        <v>331.74</v>
      </c>
      <c r="AK28" s="2957">
        <v>331.75</v>
      </c>
      <c r="AL28" s="2957" t="s">
        <v>1331</v>
      </c>
      <c r="AM28" s="2957" t="s">
        <v>1331</v>
      </c>
      <c r="AN28" s="2957">
        <v>0</v>
      </c>
      <c r="AO28" s="2957" t="s">
        <v>3131</v>
      </c>
      <c r="AP28" s="2957" t="s">
        <v>1331</v>
      </c>
      <c r="AQ28" s="2957" t="s">
        <v>1331</v>
      </c>
      <c r="AR28" s="2957" t="s">
        <v>1331</v>
      </c>
      <c r="AU28" s="2957">
        <f t="shared" si="0"/>
        <v>1327</v>
      </c>
    </row>
    <row r="29" spans="1:47" s="2957" customFormat="1" ht="12">
      <c r="A29" s="2957" t="s">
        <v>3297</v>
      </c>
      <c r="B29" s="2957" t="s">
        <v>3116</v>
      </c>
      <c r="C29" s="2957" t="s">
        <v>3117</v>
      </c>
      <c r="D29" s="2957" t="s">
        <v>3118</v>
      </c>
      <c r="E29" s="2957" t="s">
        <v>1331</v>
      </c>
      <c r="F29" s="2957" t="s">
        <v>3297</v>
      </c>
      <c r="G29" s="2957" t="s">
        <v>3119</v>
      </c>
      <c r="H29" s="2957">
        <v>201609</v>
      </c>
      <c r="I29" s="2957" t="s">
        <v>3153</v>
      </c>
      <c r="J29" s="2957">
        <v>90.3</v>
      </c>
      <c r="K29" s="2957">
        <v>679.96</v>
      </c>
      <c r="L29" s="2957" t="s">
        <v>3298</v>
      </c>
      <c r="M29" s="2957" t="s">
        <v>1331</v>
      </c>
      <c r="N29" s="2957" t="s">
        <v>1331</v>
      </c>
      <c r="O29" s="2957" t="s">
        <v>1331</v>
      </c>
      <c r="P29" s="2957" t="s">
        <v>1331</v>
      </c>
      <c r="Q29" s="2957" t="s">
        <v>1331</v>
      </c>
      <c r="R29" s="2957" t="s">
        <v>1331</v>
      </c>
      <c r="S29" s="2957" t="s">
        <v>1331</v>
      </c>
      <c r="T29" s="2957" t="s">
        <v>1331</v>
      </c>
      <c r="U29" s="2957" t="s">
        <v>1331</v>
      </c>
      <c r="V29" s="2957" t="s">
        <v>1331</v>
      </c>
      <c r="W29" s="2957" t="s">
        <v>3211</v>
      </c>
      <c r="X29" s="2957" t="s">
        <v>3299</v>
      </c>
      <c r="Y29" s="2957" t="s">
        <v>3300</v>
      </c>
      <c r="Z29" s="2957" t="s">
        <v>3301</v>
      </c>
      <c r="AA29" s="2957" t="s">
        <v>3301</v>
      </c>
      <c r="AB29" s="2957" t="s">
        <v>3302</v>
      </c>
      <c r="AC29" s="2957" t="s">
        <v>3129</v>
      </c>
      <c r="AD29" s="2957" t="s">
        <v>3303</v>
      </c>
      <c r="AE29" s="2957">
        <v>16.54</v>
      </c>
      <c r="AF29" s="2957">
        <v>16.53</v>
      </c>
      <c r="AG29" s="2957">
        <v>16.53</v>
      </c>
      <c r="AH29" s="2957">
        <v>122.04</v>
      </c>
      <c r="AI29" s="2957">
        <v>122.04</v>
      </c>
      <c r="AJ29" s="2957">
        <v>243.24</v>
      </c>
      <c r="AK29" s="2957">
        <v>243.25</v>
      </c>
      <c r="AL29" s="2957" t="s">
        <v>1331</v>
      </c>
      <c r="AM29" s="2957" t="s">
        <v>1331</v>
      </c>
      <c r="AN29" s="2957">
        <v>0</v>
      </c>
      <c r="AO29" s="2957" t="s">
        <v>3131</v>
      </c>
      <c r="AP29" s="2957" t="s">
        <v>1331</v>
      </c>
      <c r="AQ29" s="2957" t="s">
        <v>1331</v>
      </c>
      <c r="AR29" s="2957" t="s">
        <v>1331</v>
      </c>
      <c r="AU29" s="2957">
        <f t="shared" si="0"/>
        <v>1831</v>
      </c>
    </row>
    <row r="30" spans="1:47" s="2957" customFormat="1" ht="12">
      <c r="A30" s="2957" t="s">
        <v>3304</v>
      </c>
      <c r="B30" s="2957" t="s">
        <v>3116</v>
      </c>
      <c r="C30" s="2957" t="s">
        <v>3117</v>
      </c>
      <c r="D30" s="2957" t="s">
        <v>3118</v>
      </c>
      <c r="E30" s="2957" t="s">
        <v>1331</v>
      </c>
      <c r="F30" s="2957" t="s">
        <v>3304</v>
      </c>
      <c r="G30" s="2957" t="s">
        <v>3119</v>
      </c>
      <c r="H30" s="2957">
        <v>201610</v>
      </c>
      <c r="I30" s="2957" t="s">
        <v>3153</v>
      </c>
      <c r="J30" s="2957">
        <v>90.3</v>
      </c>
      <c r="K30" s="2957">
        <v>579.73</v>
      </c>
      <c r="L30" s="2957" t="s">
        <v>3305</v>
      </c>
      <c r="M30" s="2957" t="s">
        <v>1331</v>
      </c>
      <c r="N30" s="2957" t="s">
        <v>1331</v>
      </c>
      <c r="O30" s="2957" t="s">
        <v>1331</v>
      </c>
      <c r="P30" s="2957" t="s">
        <v>1331</v>
      </c>
      <c r="Q30" s="2957" t="s">
        <v>1331</v>
      </c>
      <c r="R30" s="2957" t="s">
        <v>1331</v>
      </c>
      <c r="S30" s="2957" t="s">
        <v>1331</v>
      </c>
      <c r="T30" s="2957" t="s">
        <v>1331</v>
      </c>
      <c r="U30" s="2957" t="s">
        <v>1331</v>
      </c>
      <c r="V30" s="2957" t="s">
        <v>1331</v>
      </c>
      <c r="W30" s="2957" t="s">
        <v>3211</v>
      </c>
      <c r="X30" s="2957" t="s">
        <v>3299</v>
      </c>
      <c r="Y30" s="2957" t="s">
        <v>3300</v>
      </c>
      <c r="Z30" s="2957" t="s">
        <v>3301</v>
      </c>
      <c r="AA30" s="2957" t="s">
        <v>3301</v>
      </c>
      <c r="AB30" s="2957" t="s">
        <v>3302</v>
      </c>
      <c r="AC30" s="2957" t="s">
        <v>3129</v>
      </c>
      <c r="AD30" s="2957" t="s">
        <v>3306</v>
      </c>
      <c r="AE30" s="2957">
        <v>16.34</v>
      </c>
      <c r="AF30" s="2957">
        <v>16.329999999999998</v>
      </c>
      <c r="AG30" s="2957">
        <v>16.329999999999998</v>
      </c>
      <c r="AH30" s="2957">
        <v>120.56</v>
      </c>
      <c r="AI30" s="2957">
        <v>120.56</v>
      </c>
      <c r="AJ30" s="2957">
        <v>281.85000000000002</v>
      </c>
      <c r="AK30" s="2957">
        <v>281.86</v>
      </c>
      <c r="AL30" s="2957" t="s">
        <v>1331</v>
      </c>
      <c r="AM30" s="2957" t="s">
        <v>1331</v>
      </c>
      <c r="AN30" s="2957">
        <v>0</v>
      </c>
      <c r="AO30" s="2957" t="s">
        <v>3131</v>
      </c>
      <c r="AP30" s="2957" t="s">
        <v>1331</v>
      </c>
      <c r="AQ30" s="2957" t="s">
        <v>1331</v>
      </c>
      <c r="AR30" s="2957" t="s">
        <v>1331</v>
      </c>
      <c r="AU30" s="2957">
        <f t="shared" si="0"/>
        <v>1808</v>
      </c>
    </row>
    <row r="31" spans="1:47" s="2957" customFormat="1" ht="12">
      <c r="A31" s="2957" t="s">
        <v>3307</v>
      </c>
      <c r="B31" s="2957" t="s">
        <v>3116</v>
      </c>
      <c r="C31" s="2957" t="s">
        <v>3117</v>
      </c>
      <c r="D31" s="2957" t="s">
        <v>3118</v>
      </c>
      <c r="E31" s="2957" t="s">
        <v>1331</v>
      </c>
      <c r="F31" s="2957" t="s">
        <v>3307</v>
      </c>
      <c r="G31" s="2957" t="s">
        <v>3119</v>
      </c>
      <c r="H31" s="2957">
        <v>201608</v>
      </c>
      <c r="I31" s="2957" t="s">
        <v>3153</v>
      </c>
      <c r="J31" s="2957">
        <v>90.3</v>
      </c>
      <c r="K31" s="2957">
        <v>679.96</v>
      </c>
      <c r="L31" s="2957" t="s">
        <v>3298</v>
      </c>
      <c r="M31" s="2957" t="s">
        <v>1331</v>
      </c>
      <c r="N31" s="2957" t="s">
        <v>1331</v>
      </c>
      <c r="O31" s="2957" t="s">
        <v>1331</v>
      </c>
      <c r="P31" s="2957" t="s">
        <v>1331</v>
      </c>
      <c r="Q31" s="2957" t="s">
        <v>1331</v>
      </c>
      <c r="R31" s="2957" t="s">
        <v>1331</v>
      </c>
      <c r="S31" s="2957" t="s">
        <v>1331</v>
      </c>
      <c r="T31" s="2957" t="s">
        <v>1331</v>
      </c>
      <c r="U31" s="2957" t="s">
        <v>1331</v>
      </c>
      <c r="V31" s="2957" t="s">
        <v>1331</v>
      </c>
      <c r="W31" s="2957" t="s">
        <v>3211</v>
      </c>
      <c r="X31" s="2957" t="s">
        <v>3299</v>
      </c>
      <c r="Y31" s="2957" t="s">
        <v>3300</v>
      </c>
      <c r="Z31" s="2957" t="s">
        <v>3301</v>
      </c>
      <c r="AA31" s="2957" t="s">
        <v>3301</v>
      </c>
      <c r="AB31" s="2957" t="s">
        <v>3302</v>
      </c>
      <c r="AC31" s="2957" t="s">
        <v>3129</v>
      </c>
      <c r="AD31" s="2957" t="s">
        <v>3303</v>
      </c>
      <c r="AE31" s="2957">
        <v>16.54</v>
      </c>
      <c r="AF31" s="2957">
        <v>16.53</v>
      </c>
      <c r="AG31" s="2957">
        <v>16.53</v>
      </c>
      <c r="AH31" s="2957">
        <v>122.04</v>
      </c>
      <c r="AI31" s="2957">
        <v>122.04</v>
      </c>
      <c r="AJ31" s="2957">
        <v>243.24</v>
      </c>
      <c r="AK31" s="2957">
        <v>243.25</v>
      </c>
      <c r="AL31" s="2957" t="s">
        <v>1331</v>
      </c>
      <c r="AM31" s="2957" t="s">
        <v>1331</v>
      </c>
      <c r="AN31" s="2957">
        <v>0</v>
      </c>
      <c r="AO31" s="2957" t="s">
        <v>3131</v>
      </c>
      <c r="AP31" s="2957" t="s">
        <v>1331</v>
      </c>
      <c r="AQ31" s="2957" t="s">
        <v>1331</v>
      </c>
      <c r="AR31" s="2957" t="s">
        <v>1331</v>
      </c>
      <c r="AU31" s="2957">
        <f t="shared" si="0"/>
        <v>1831</v>
      </c>
    </row>
    <row r="32" spans="1:47" s="2957" customFormat="1" ht="12">
      <c r="A32" s="2957" t="s">
        <v>3308</v>
      </c>
      <c r="B32" s="2957" t="s">
        <v>3116</v>
      </c>
      <c r="C32" s="2957" t="s">
        <v>3117</v>
      </c>
      <c r="D32" s="2957" t="s">
        <v>3118</v>
      </c>
      <c r="E32" s="2957" t="s">
        <v>1331</v>
      </c>
      <c r="F32" s="2957" t="s">
        <v>3308</v>
      </c>
      <c r="G32" s="2957" t="s">
        <v>3119</v>
      </c>
      <c r="H32" s="2957">
        <v>201607</v>
      </c>
      <c r="I32" s="2957" t="s">
        <v>3153</v>
      </c>
      <c r="J32" s="2957">
        <v>90.3</v>
      </c>
      <c r="K32" s="2957">
        <v>579.73</v>
      </c>
      <c r="L32" s="2957" t="s">
        <v>3305</v>
      </c>
      <c r="M32" s="2957" t="s">
        <v>1331</v>
      </c>
      <c r="N32" s="2957" t="s">
        <v>1331</v>
      </c>
      <c r="O32" s="2957" t="s">
        <v>1331</v>
      </c>
      <c r="P32" s="2957" t="s">
        <v>1331</v>
      </c>
      <c r="Q32" s="2957" t="s">
        <v>1331</v>
      </c>
      <c r="R32" s="2957" t="s">
        <v>1331</v>
      </c>
      <c r="S32" s="2957" t="s">
        <v>1331</v>
      </c>
      <c r="T32" s="2957" t="s">
        <v>1331</v>
      </c>
      <c r="U32" s="2957" t="s">
        <v>1331</v>
      </c>
      <c r="V32" s="2957" t="s">
        <v>1331</v>
      </c>
      <c r="W32" s="2957" t="s">
        <v>3211</v>
      </c>
      <c r="X32" s="2957" t="s">
        <v>3299</v>
      </c>
      <c r="Y32" s="2957" t="s">
        <v>3300</v>
      </c>
      <c r="Z32" s="2957" t="s">
        <v>3301</v>
      </c>
      <c r="AA32" s="2957" t="s">
        <v>3301</v>
      </c>
      <c r="AB32" s="2957" t="s">
        <v>3302</v>
      </c>
      <c r="AC32" s="2957" t="s">
        <v>3129</v>
      </c>
      <c r="AD32" s="2957" t="s">
        <v>3303</v>
      </c>
      <c r="AE32" s="2957">
        <v>16.34</v>
      </c>
      <c r="AF32" s="2957">
        <v>16.329999999999998</v>
      </c>
      <c r="AG32" s="2957">
        <v>16.329999999999998</v>
      </c>
      <c r="AH32" s="2957">
        <v>120.56</v>
      </c>
      <c r="AI32" s="2957">
        <v>120.56</v>
      </c>
      <c r="AJ32" s="2957">
        <v>281.85000000000002</v>
      </c>
      <c r="AK32" s="2957">
        <v>281.86</v>
      </c>
      <c r="AL32" s="2957" t="s">
        <v>1331</v>
      </c>
      <c r="AM32" s="2957" t="s">
        <v>1331</v>
      </c>
      <c r="AN32" s="2957">
        <v>0</v>
      </c>
      <c r="AO32" s="2957" t="s">
        <v>3131</v>
      </c>
      <c r="AP32" s="2957" t="s">
        <v>1331</v>
      </c>
      <c r="AQ32" s="2957" t="s">
        <v>1331</v>
      </c>
      <c r="AR32" s="2957" t="s">
        <v>1331</v>
      </c>
      <c r="AU32" s="2957">
        <f t="shared" si="0"/>
        <v>1808</v>
      </c>
    </row>
    <row r="33" spans="1:47" s="2957" customFormat="1" ht="12">
      <c r="A33" s="2957" t="s">
        <v>3309</v>
      </c>
      <c r="B33" s="2957" t="s">
        <v>3116</v>
      </c>
      <c r="C33" s="2957" t="s">
        <v>3138</v>
      </c>
      <c r="D33" s="2957" t="s">
        <v>3139</v>
      </c>
      <c r="E33" s="2957" t="s">
        <v>1331</v>
      </c>
      <c r="F33" s="2957" t="s">
        <v>3309</v>
      </c>
      <c r="G33" s="2957" t="s">
        <v>3119</v>
      </c>
      <c r="H33" s="2957" t="s">
        <v>3310</v>
      </c>
      <c r="I33" s="2957" t="s">
        <v>3311</v>
      </c>
      <c r="J33" s="2957">
        <v>96547</v>
      </c>
      <c r="K33" s="2957">
        <v>318605.09999999998</v>
      </c>
      <c r="L33" s="2957" t="s">
        <v>3312</v>
      </c>
      <c r="M33" s="2957" t="s">
        <v>1331</v>
      </c>
      <c r="N33" s="2957" t="s">
        <v>3250</v>
      </c>
      <c r="O33" s="2957" t="s">
        <v>3275</v>
      </c>
      <c r="P33" s="2957" t="s">
        <v>1331</v>
      </c>
      <c r="Q33" s="2957" t="s">
        <v>1331</v>
      </c>
      <c r="R33" s="2957" t="s">
        <v>1331</v>
      </c>
      <c r="S33" s="2957" t="s">
        <v>1331</v>
      </c>
      <c r="T33" s="2957" t="s">
        <v>1331</v>
      </c>
      <c r="U33" s="2957" t="s">
        <v>1331</v>
      </c>
      <c r="V33" s="2957" t="s">
        <v>1331</v>
      </c>
      <c r="W33" s="2957" t="s">
        <v>3211</v>
      </c>
      <c r="X33" s="2957" t="s">
        <v>3313</v>
      </c>
      <c r="Y33" s="2957" t="s">
        <v>3314</v>
      </c>
      <c r="Z33" s="2957" t="s">
        <v>3315</v>
      </c>
      <c r="AA33" s="2957" t="s">
        <v>3315</v>
      </c>
      <c r="AB33" s="2957" t="s">
        <v>3316</v>
      </c>
      <c r="AC33" s="2957" t="s">
        <v>3129</v>
      </c>
      <c r="AD33" s="2957" t="s">
        <v>3280</v>
      </c>
      <c r="AE33" s="2957">
        <v>12720</v>
      </c>
      <c r="AF33" s="2957">
        <v>31800</v>
      </c>
      <c r="AG33" s="2957">
        <v>31800</v>
      </c>
      <c r="AH33" s="2957">
        <v>219.58</v>
      </c>
      <c r="AI33" s="2957">
        <v>219.58</v>
      </c>
      <c r="AJ33" s="2957">
        <v>998.1</v>
      </c>
      <c r="AK33" s="2957">
        <v>998.1</v>
      </c>
      <c r="AL33" s="2957" t="s">
        <v>1331</v>
      </c>
      <c r="AM33" s="2957" t="s">
        <v>1331</v>
      </c>
      <c r="AN33" s="2957">
        <v>0</v>
      </c>
      <c r="AO33" s="2957" t="s">
        <v>3317</v>
      </c>
      <c r="AP33" s="2957" t="s">
        <v>1331</v>
      </c>
      <c r="AQ33" s="2957" t="s">
        <v>1331</v>
      </c>
      <c r="AR33" s="2957" t="s">
        <v>1331</v>
      </c>
      <c r="AU33" s="2957">
        <f t="shared" si="0"/>
        <v>3294</v>
      </c>
    </row>
    <row r="34" spans="1:47" s="2958" customFormat="1" ht="12">
      <c r="A34" s="2958" t="s">
        <v>3318</v>
      </c>
      <c r="B34" s="2958" t="s">
        <v>3116</v>
      </c>
      <c r="C34" s="2958" t="s">
        <v>3138</v>
      </c>
      <c r="D34" s="2958" t="s">
        <v>3069</v>
      </c>
      <c r="E34" s="2958" t="s">
        <v>1331</v>
      </c>
      <c r="F34" s="2958" t="s">
        <v>3318</v>
      </c>
      <c r="G34" s="2958" t="s">
        <v>3119</v>
      </c>
      <c r="H34" s="2958" t="s">
        <v>3319</v>
      </c>
      <c r="I34" s="2958" t="s">
        <v>3320</v>
      </c>
      <c r="J34" s="2958">
        <v>67304.399999999994</v>
      </c>
      <c r="K34" s="2958">
        <v>121147.92</v>
      </c>
      <c r="L34" s="2958" t="s">
        <v>3321</v>
      </c>
      <c r="M34" s="2958" t="s">
        <v>1331</v>
      </c>
      <c r="N34" s="2958" t="s">
        <v>3262</v>
      </c>
      <c r="O34" s="2958" t="s">
        <v>3322</v>
      </c>
      <c r="P34" s="2958" t="s">
        <v>1331</v>
      </c>
      <c r="Q34" s="2958" t="s">
        <v>1331</v>
      </c>
      <c r="R34" s="2958" t="s">
        <v>1331</v>
      </c>
      <c r="S34" s="2958" t="s">
        <v>1331</v>
      </c>
      <c r="T34" s="2958" t="s">
        <v>1331</v>
      </c>
      <c r="U34" s="2958" t="s">
        <v>1331</v>
      </c>
      <c r="V34" s="2958" t="s">
        <v>1331</v>
      </c>
      <c r="W34" s="2958" t="s">
        <v>3211</v>
      </c>
      <c r="X34" s="2958" t="s">
        <v>3323</v>
      </c>
      <c r="Y34" s="2958" t="s">
        <v>3324</v>
      </c>
      <c r="Z34" s="2958" t="s">
        <v>3325</v>
      </c>
      <c r="AA34" s="2958" t="s">
        <v>3325</v>
      </c>
      <c r="AB34" s="2958" t="s">
        <v>3326</v>
      </c>
      <c r="AC34" s="2958" t="s">
        <v>3129</v>
      </c>
      <c r="AD34" s="2958" t="s">
        <v>3327</v>
      </c>
      <c r="AE34" s="2958">
        <v>8720</v>
      </c>
      <c r="AF34" s="2958">
        <v>21800</v>
      </c>
      <c r="AG34" s="2958">
        <v>26600</v>
      </c>
      <c r="AH34" s="2958">
        <v>215.93</v>
      </c>
      <c r="AI34" s="2958">
        <v>263.48</v>
      </c>
      <c r="AJ34" s="2958">
        <v>1799.45</v>
      </c>
      <c r="AK34" s="2958">
        <v>2195.65</v>
      </c>
      <c r="AL34" s="2958" t="s">
        <v>1331</v>
      </c>
      <c r="AM34" s="2958" t="s">
        <v>1331</v>
      </c>
      <c r="AN34" s="2958">
        <v>22.02</v>
      </c>
      <c r="AO34" s="2958" t="s">
        <v>3328</v>
      </c>
      <c r="AP34" s="2958" t="s">
        <v>1331</v>
      </c>
      <c r="AQ34" s="2958" t="s">
        <v>1331</v>
      </c>
      <c r="AR34" s="2958" t="s">
        <v>1331</v>
      </c>
      <c r="AU34" s="2958">
        <f t="shared" si="0"/>
        <v>3952</v>
      </c>
    </row>
    <row r="35" spans="1:47" s="2957" customFormat="1" ht="12">
      <c r="A35" s="2957" t="s">
        <v>3329</v>
      </c>
      <c r="B35" s="2957" t="s">
        <v>3116</v>
      </c>
      <c r="C35" s="2957" t="s">
        <v>3117</v>
      </c>
      <c r="D35" s="2957" t="s">
        <v>3118</v>
      </c>
      <c r="E35" s="2957" t="s">
        <v>1331</v>
      </c>
      <c r="F35" s="2957" t="s">
        <v>3329</v>
      </c>
      <c r="G35" s="2957" t="s">
        <v>3119</v>
      </c>
      <c r="H35" s="2957">
        <v>201532</v>
      </c>
      <c r="I35" s="2957" t="s">
        <v>3153</v>
      </c>
      <c r="J35" s="2957">
        <v>1500</v>
      </c>
      <c r="K35" s="2957">
        <v>19350</v>
      </c>
      <c r="L35" s="2957" t="s">
        <v>3330</v>
      </c>
      <c r="M35" s="2957" t="s">
        <v>1331</v>
      </c>
      <c r="N35" s="2957" t="s">
        <v>1331</v>
      </c>
      <c r="O35" s="2957" t="s">
        <v>3331</v>
      </c>
      <c r="P35" s="2957" t="s">
        <v>1331</v>
      </c>
      <c r="Q35" s="2957" t="s">
        <v>1331</v>
      </c>
      <c r="R35" s="2957" t="s">
        <v>1331</v>
      </c>
      <c r="S35" s="2957" t="s">
        <v>1331</v>
      </c>
      <c r="T35" s="2957" t="s">
        <v>1331</v>
      </c>
      <c r="U35" s="2957" t="s">
        <v>1331</v>
      </c>
      <c r="V35" s="2957" t="s">
        <v>1331</v>
      </c>
      <c r="W35" s="2957" t="s">
        <v>3211</v>
      </c>
      <c r="X35" s="2957" t="s">
        <v>3332</v>
      </c>
      <c r="Y35" s="2957" t="s">
        <v>3333</v>
      </c>
      <c r="Z35" s="2957" t="s">
        <v>3334</v>
      </c>
      <c r="AA35" s="2957" t="s">
        <v>3334</v>
      </c>
      <c r="AB35" s="2957" t="s">
        <v>3335</v>
      </c>
      <c r="AC35" s="2957" t="s">
        <v>3129</v>
      </c>
      <c r="AD35" s="2957" t="s">
        <v>3336</v>
      </c>
      <c r="AE35" s="2957">
        <v>340.35</v>
      </c>
      <c r="AF35" s="2957">
        <v>340.35</v>
      </c>
      <c r="AG35" s="2957">
        <v>340.35</v>
      </c>
      <c r="AH35" s="2957">
        <v>151.27000000000001</v>
      </c>
      <c r="AI35" s="2957">
        <v>151.27000000000001</v>
      </c>
      <c r="AJ35" s="2957">
        <v>175.89</v>
      </c>
      <c r="AK35" s="2957">
        <v>175.88</v>
      </c>
      <c r="AL35" s="2957" t="s">
        <v>1331</v>
      </c>
      <c r="AM35" s="2957" t="s">
        <v>1331</v>
      </c>
      <c r="AN35" s="2957">
        <v>0</v>
      </c>
      <c r="AO35" s="2957" t="s">
        <v>3131</v>
      </c>
      <c r="AP35" s="2957" t="s">
        <v>1331</v>
      </c>
      <c r="AQ35" s="2957" t="s">
        <v>1331</v>
      </c>
      <c r="AR35" s="2957" t="s">
        <v>1331</v>
      </c>
      <c r="AU35" s="2957">
        <f t="shared" si="0"/>
        <v>2269</v>
      </c>
    </row>
    <row r="36" spans="1:47" s="2965" customFormat="1" ht="12">
      <c r="A36" s="2965" t="s">
        <v>3337</v>
      </c>
      <c r="B36" s="2965" t="s">
        <v>3116</v>
      </c>
      <c r="C36" s="2965" t="s">
        <v>3117</v>
      </c>
      <c r="D36" s="2965" t="s">
        <v>3069</v>
      </c>
      <c r="E36" s="2965" t="s">
        <v>1331</v>
      </c>
      <c r="F36" s="2965" t="s">
        <v>3337</v>
      </c>
      <c r="G36" s="2965" t="s">
        <v>3119</v>
      </c>
      <c r="H36" s="2965" t="s">
        <v>3338</v>
      </c>
      <c r="I36" s="2965" t="s">
        <v>3339</v>
      </c>
      <c r="J36" s="2965">
        <v>75907.199999999997</v>
      </c>
      <c r="K36" s="2965">
        <v>166995.79999999999</v>
      </c>
      <c r="L36" s="2965" t="s">
        <v>3340</v>
      </c>
      <c r="M36" s="2965" t="s">
        <v>3341</v>
      </c>
      <c r="N36" s="2965" t="s">
        <v>3274</v>
      </c>
      <c r="O36" s="2965" t="s">
        <v>3251</v>
      </c>
      <c r="P36" s="2965" t="s">
        <v>1331</v>
      </c>
      <c r="Q36" s="2965" t="s">
        <v>1331</v>
      </c>
      <c r="R36" s="2965" t="s">
        <v>1331</v>
      </c>
      <c r="S36" s="2965" t="s">
        <v>1331</v>
      </c>
      <c r="T36" s="2965" t="s">
        <v>1331</v>
      </c>
      <c r="U36" s="2965" t="s">
        <v>1331</v>
      </c>
      <c r="V36" s="2965" t="s">
        <v>1331</v>
      </c>
      <c r="W36" s="2965" t="s">
        <v>3342</v>
      </c>
      <c r="X36" s="2965" t="s">
        <v>3343</v>
      </c>
      <c r="Y36" s="2965" t="s">
        <v>3344</v>
      </c>
      <c r="Z36" s="2965" t="s">
        <v>3345</v>
      </c>
      <c r="AA36" s="2965" t="s">
        <v>3345</v>
      </c>
      <c r="AB36" s="2965" t="s">
        <v>3346</v>
      </c>
      <c r="AC36" s="2965" t="s">
        <v>3129</v>
      </c>
      <c r="AD36" s="2965" t="s">
        <v>3347</v>
      </c>
      <c r="AE36" s="2965">
        <v>11000</v>
      </c>
      <c r="AF36" s="2965">
        <v>31000</v>
      </c>
      <c r="AG36" s="2965">
        <v>31000</v>
      </c>
      <c r="AH36" s="2965">
        <v>272.26</v>
      </c>
      <c r="AI36" s="2965">
        <v>272.26</v>
      </c>
      <c r="AJ36" s="2965">
        <v>1856.33</v>
      </c>
      <c r="AK36" s="2965">
        <v>1856.32</v>
      </c>
      <c r="AL36" s="2965" t="s">
        <v>1331</v>
      </c>
      <c r="AM36" s="2965" t="s">
        <v>1331</v>
      </c>
      <c r="AN36" s="2965">
        <v>0</v>
      </c>
      <c r="AO36" s="2965" t="s">
        <v>3131</v>
      </c>
      <c r="AP36" s="2965" t="s">
        <v>1331</v>
      </c>
      <c r="AQ36" s="2965" t="s">
        <v>1331</v>
      </c>
      <c r="AR36" s="2965" t="s">
        <v>1331</v>
      </c>
      <c r="AU36" s="2965">
        <f t="shared" si="0"/>
        <v>4084</v>
      </c>
    </row>
    <row r="37" spans="1:47" s="2957" customFormat="1" ht="12">
      <c r="A37" s="2957" t="s">
        <v>3348</v>
      </c>
      <c r="B37" s="2957" t="s">
        <v>3116</v>
      </c>
      <c r="C37" s="2957" t="s">
        <v>3117</v>
      </c>
      <c r="D37" s="2957" t="s">
        <v>3118</v>
      </c>
      <c r="E37" s="2957" t="s">
        <v>1331</v>
      </c>
      <c r="F37" s="2957" t="s">
        <v>3348</v>
      </c>
      <c r="G37" s="2957" t="s">
        <v>3119</v>
      </c>
      <c r="H37" s="2957">
        <v>201524</v>
      </c>
      <c r="I37" s="2957" t="s">
        <v>3153</v>
      </c>
      <c r="J37" s="2957">
        <v>44312</v>
      </c>
      <c r="K37" s="2957">
        <v>132936</v>
      </c>
      <c r="L37" s="2957" t="s">
        <v>3283</v>
      </c>
      <c r="M37" s="2957" t="s">
        <v>1331</v>
      </c>
      <c r="N37" s="2957" t="s">
        <v>3134</v>
      </c>
      <c r="O37" s="2957" t="s">
        <v>3188</v>
      </c>
      <c r="P37" s="2957" t="s">
        <v>1331</v>
      </c>
      <c r="Q37" s="2957" t="s">
        <v>1331</v>
      </c>
      <c r="R37" s="2957" t="s">
        <v>1331</v>
      </c>
      <c r="S37" s="2957" t="s">
        <v>1331</v>
      </c>
      <c r="T37" s="2957" t="s">
        <v>1331</v>
      </c>
      <c r="U37" s="2957" t="s">
        <v>1331</v>
      </c>
      <c r="V37" s="2957" t="s">
        <v>1331</v>
      </c>
      <c r="W37" s="2957" t="s">
        <v>3342</v>
      </c>
      <c r="X37" s="2957" t="s">
        <v>3349</v>
      </c>
      <c r="Y37" s="2957" t="s">
        <v>3350</v>
      </c>
      <c r="Z37" s="2957" t="s">
        <v>3351</v>
      </c>
      <c r="AA37" s="2957" t="s">
        <v>3351</v>
      </c>
      <c r="AB37" s="2957" t="s">
        <v>3352</v>
      </c>
      <c r="AC37" s="2957" t="s">
        <v>3129</v>
      </c>
      <c r="AD37" s="2957" t="s">
        <v>3353</v>
      </c>
      <c r="AE37" s="2957">
        <v>850</v>
      </c>
      <c r="AF37" s="2957">
        <v>4103.28</v>
      </c>
      <c r="AG37" s="2957">
        <v>4103.28</v>
      </c>
      <c r="AH37" s="2957">
        <v>61.73</v>
      </c>
      <c r="AI37" s="2957">
        <v>61.73</v>
      </c>
      <c r="AJ37" s="2957">
        <v>308.66000000000003</v>
      </c>
      <c r="AK37" s="2957">
        <v>308.67</v>
      </c>
      <c r="AL37" s="2957" t="s">
        <v>1331</v>
      </c>
      <c r="AM37" s="2957" t="s">
        <v>1331</v>
      </c>
      <c r="AN37" s="2957">
        <v>0</v>
      </c>
      <c r="AO37" s="2957" t="s">
        <v>3131</v>
      </c>
      <c r="AP37" s="2957" t="s">
        <v>1331</v>
      </c>
      <c r="AQ37" s="2957" t="s">
        <v>1331</v>
      </c>
      <c r="AR37" s="2957" t="s">
        <v>1331</v>
      </c>
      <c r="AU37" s="2957">
        <f t="shared" si="0"/>
        <v>926</v>
      </c>
    </row>
    <row r="38" spans="1:47" s="2957" customFormat="1" ht="12">
      <c r="A38" s="2957" t="s">
        <v>3354</v>
      </c>
      <c r="B38" s="2957" t="s">
        <v>3116</v>
      </c>
      <c r="C38" s="2957" t="s">
        <v>3117</v>
      </c>
      <c r="D38" s="2957" t="s">
        <v>3118</v>
      </c>
      <c r="E38" s="2957" t="s">
        <v>1331</v>
      </c>
      <c r="F38" s="2957" t="s">
        <v>3354</v>
      </c>
      <c r="G38" s="2957" t="s">
        <v>3119</v>
      </c>
      <c r="H38" s="2957">
        <v>201512</v>
      </c>
      <c r="I38" s="2957" t="s">
        <v>3153</v>
      </c>
      <c r="J38" s="2957">
        <v>1596</v>
      </c>
      <c r="K38" s="2957">
        <v>3511.2</v>
      </c>
      <c r="L38" s="2957" t="s">
        <v>3355</v>
      </c>
      <c r="M38" s="2957" t="s">
        <v>1331</v>
      </c>
      <c r="N38" s="2957" t="s">
        <v>3356</v>
      </c>
      <c r="O38" s="2957" t="s">
        <v>3122</v>
      </c>
      <c r="P38" s="2957" t="s">
        <v>1331</v>
      </c>
      <c r="Q38" s="2957" t="s">
        <v>1331</v>
      </c>
      <c r="R38" s="2957" t="s">
        <v>1331</v>
      </c>
      <c r="S38" s="2957" t="s">
        <v>1331</v>
      </c>
      <c r="T38" s="2957" t="s">
        <v>1331</v>
      </c>
      <c r="U38" s="2957" t="s">
        <v>1331</v>
      </c>
      <c r="V38" s="2957" t="s">
        <v>1331</v>
      </c>
      <c r="W38" s="2957" t="s">
        <v>3342</v>
      </c>
      <c r="X38" s="2957" t="s">
        <v>3349</v>
      </c>
      <c r="Y38" s="2957" t="s">
        <v>3350</v>
      </c>
      <c r="Z38" s="2957" t="s">
        <v>3351</v>
      </c>
      <c r="AA38" s="2957" t="s">
        <v>3351</v>
      </c>
      <c r="AB38" s="2957" t="s">
        <v>3352</v>
      </c>
      <c r="AC38" s="2957" t="s">
        <v>3129</v>
      </c>
      <c r="AD38" s="2957" t="s">
        <v>3357</v>
      </c>
      <c r="AE38" s="2957">
        <v>150</v>
      </c>
      <c r="AF38" s="2957">
        <v>241.78</v>
      </c>
      <c r="AG38" s="2957">
        <v>242.11</v>
      </c>
      <c r="AH38" s="2957">
        <v>100.99</v>
      </c>
      <c r="AI38" s="2957">
        <v>101.13</v>
      </c>
      <c r="AJ38" s="2957">
        <v>688.62</v>
      </c>
      <c r="AK38" s="2957">
        <v>689.53</v>
      </c>
      <c r="AL38" s="2957" t="s">
        <v>1331</v>
      </c>
      <c r="AM38" s="2957" t="s">
        <v>1331</v>
      </c>
      <c r="AN38" s="2957">
        <v>0.13</v>
      </c>
      <c r="AO38" s="2957" t="s">
        <v>3131</v>
      </c>
      <c r="AP38" s="2957" t="s">
        <v>1331</v>
      </c>
      <c r="AQ38" s="2957" t="s">
        <v>1331</v>
      </c>
      <c r="AR38" s="2957" t="s">
        <v>1331</v>
      </c>
      <c r="AU38" s="2957">
        <f t="shared" si="0"/>
        <v>1517</v>
      </c>
    </row>
    <row r="39" spans="1:47" s="2957" customFormat="1" ht="12">
      <c r="A39" s="2957" t="s">
        <v>3358</v>
      </c>
      <c r="B39" s="2957" t="s">
        <v>3116</v>
      </c>
      <c r="C39" s="2957" t="s">
        <v>3117</v>
      </c>
      <c r="D39" s="2957" t="s">
        <v>3118</v>
      </c>
      <c r="E39" s="2957" t="s">
        <v>1331</v>
      </c>
      <c r="F39" s="2957" t="s">
        <v>3358</v>
      </c>
      <c r="G39" s="2957" t="s">
        <v>3119</v>
      </c>
      <c r="H39" s="2957">
        <v>201522</v>
      </c>
      <c r="I39" s="2957" t="s">
        <v>3153</v>
      </c>
      <c r="J39" s="2957">
        <v>57912</v>
      </c>
      <c r="K39" s="2957">
        <v>173736</v>
      </c>
      <c r="L39" s="2957" t="s">
        <v>3283</v>
      </c>
      <c r="M39" s="2957" t="s">
        <v>1331</v>
      </c>
      <c r="N39" s="2957" t="s">
        <v>3134</v>
      </c>
      <c r="O39" s="2957" t="s">
        <v>3188</v>
      </c>
      <c r="P39" s="2957" t="s">
        <v>1331</v>
      </c>
      <c r="Q39" s="2957" t="s">
        <v>1331</v>
      </c>
      <c r="R39" s="2957" t="s">
        <v>1331</v>
      </c>
      <c r="S39" s="2957" t="s">
        <v>1331</v>
      </c>
      <c r="T39" s="2957" t="s">
        <v>1331</v>
      </c>
      <c r="U39" s="2957" t="s">
        <v>1331</v>
      </c>
      <c r="V39" s="2957" t="s">
        <v>1331</v>
      </c>
      <c r="W39" s="2957" t="s">
        <v>3342</v>
      </c>
      <c r="X39" s="2957" t="s">
        <v>3349</v>
      </c>
      <c r="Y39" s="2957" t="s">
        <v>3350</v>
      </c>
      <c r="Z39" s="2957" t="s">
        <v>3351</v>
      </c>
      <c r="AA39" s="2957" t="s">
        <v>3351</v>
      </c>
      <c r="AB39" s="2957" t="s">
        <v>3352</v>
      </c>
      <c r="AC39" s="2957" t="s">
        <v>3129</v>
      </c>
      <c r="AD39" s="2957" t="s">
        <v>3353</v>
      </c>
      <c r="AE39" s="2957">
        <v>1000</v>
      </c>
      <c r="AF39" s="2957">
        <v>4983.32</v>
      </c>
      <c r="AG39" s="2957">
        <v>4983.32</v>
      </c>
      <c r="AH39" s="2957">
        <v>57.37</v>
      </c>
      <c r="AI39" s="2957">
        <v>57.37</v>
      </c>
      <c r="AJ39" s="2957">
        <v>286.83</v>
      </c>
      <c r="AK39" s="2957">
        <v>286.82</v>
      </c>
      <c r="AL39" s="2957" t="s">
        <v>1331</v>
      </c>
      <c r="AM39" s="2957" t="s">
        <v>1331</v>
      </c>
      <c r="AN39" s="2957">
        <v>0</v>
      </c>
      <c r="AO39" s="2957" t="s">
        <v>3131</v>
      </c>
      <c r="AP39" s="2957" t="s">
        <v>1331</v>
      </c>
      <c r="AQ39" s="2957" t="s">
        <v>1331</v>
      </c>
      <c r="AR39" s="2957" t="s">
        <v>1331</v>
      </c>
      <c r="AU39" s="2957">
        <f t="shared" si="0"/>
        <v>860</v>
      </c>
    </row>
    <row r="40" spans="1:47" s="2957" customFormat="1" ht="12">
      <c r="A40" s="2957" t="s">
        <v>3359</v>
      </c>
      <c r="B40" s="2957" t="s">
        <v>3116</v>
      </c>
      <c r="C40" s="2957" t="s">
        <v>3117</v>
      </c>
      <c r="D40" s="2957" t="s">
        <v>3118</v>
      </c>
      <c r="E40" s="2957" t="s">
        <v>1331</v>
      </c>
      <c r="F40" s="2957" t="s">
        <v>3359</v>
      </c>
      <c r="G40" s="2957" t="s">
        <v>3119</v>
      </c>
      <c r="H40" s="2957">
        <v>201521</v>
      </c>
      <c r="I40" s="2957" t="s">
        <v>3153</v>
      </c>
      <c r="J40" s="2957">
        <v>48526</v>
      </c>
      <c r="K40" s="2957">
        <v>145578</v>
      </c>
      <c r="L40" s="2957" t="s">
        <v>3283</v>
      </c>
      <c r="M40" s="2957" t="s">
        <v>1331</v>
      </c>
      <c r="N40" s="2957" t="s">
        <v>3134</v>
      </c>
      <c r="O40" s="2957" t="s">
        <v>3188</v>
      </c>
      <c r="P40" s="2957" t="s">
        <v>1331</v>
      </c>
      <c r="Q40" s="2957" t="s">
        <v>1331</v>
      </c>
      <c r="R40" s="2957" t="s">
        <v>1331</v>
      </c>
      <c r="S40" s="2957" t="s">
        <v>1331</v>
      </c>
      <c r="T40" s="2957" t="s">
        <v>1331</v>
      </c>
      <c r="U40" s="2957" t="s">
        <v>1331</v>
      </c>
      <c r="V40" s="2957" t="s">
        <v>1331</v>
      </c>
      <c r="W40" s="2957" t="s">
        <v>3342</v>
      </c>
      <c r="X40" s="2957" t="s">
        <v>3349</v>
      </c>
      <c r="Y40" s="2957" t="s">
        <v>3350</v>
      </c>
      <c r="Z40" s="2957" t="s">
        <v>3351</v>
      </c>
      <c r="AA40" s="2957" t="s">
        <v>3351</v>
      </c>
      <c r="AB40" s="2957" t="s">
        <v>3352</v>
      </c>
      <c r="AC40" s="2957" t="s">
        <v>3129</v>
      </c>
      <c r="AD40" s="2957" t="s">
        <v>3353</v>
      </c>
      <c r="AE40" s="2957">
        <v>850</v>
      </c>
      <c r="AF40" s="2957">
        <v>4020.38</v>
      </c>
      <c r="AG40" s="2957">
        <v>4020.38</v>
      </c>
      <c r="AH40" s="2957">
        <v>55.23</v>
      </c>
      <c r="AI40" s="2957">
        <v>55.23</v>
      </c>
      <c r="AJ40" s="2957">
        <v>276.16000000000003</v>
      </c>
      <c r="AK40" s="2957">
        <v>276.17</v>
      </c>
      <c r="AL40" s="2957" t="s">
        <v>1331</v>
      </c>
      <c r="AM40" s="2957" t="s">
        <v>1331</v>
      </c>
      <c r="AN40" s="2957">
        <v>0</v>
      </c>
      <c r="AO40" s="2957" t="s">
        <v>3131</v>
      </c>
      <c r="AP40" s="2957" t="s">
        <v>1331</v>
      </c>
      <c r="AQ40" s="2957" t="s">
        <v>1331</v>
      </c>
      <c r="AR40" s="2957" t="s">
        <v>1331</v>
      </c>
      <c r="AU40" s="2957">
        <f t="shared" si="0"/>
        <v>829</v>
      </c>
    </row>
    <row r="41" spans="1:47" s="2957" customFormat="1" ht="12">
      <c r="A41" s="2957" t="s">
        <v>3360</v>
      </c>
      <c r="B41" s="2957" t="s">
        <v>3116</v>
      </c>
      <c r="C41" s="2957" t="s">
        <v>3117</v>
      </c>
      <c r="D41" s="2957" t="s">
        <v>3118</v>
      </c>
      <c r="E41" s="2957" t="s">
        <v>1331</v>
      </c>
      <c r="F41" s="2957" t="s">
        <v>3360</v>
      </c>
      <c r="G41" s="2957" t="s">
        <v>3119</v>
      </c>
      <c r="H41" s="2957">
        <v>201517</v>
      </c>
      <c r="I41" s="2957" t="s">
        <v>3153</v>
      </c>
      <c r="J41" s="2957">
        <v>15400</v>
      </c>
      <c r="K41" s="2957">
        <v>69300</v>
      </c>
      <c r="L41" s="2957" t="s">
        <v>3121</v>
      </c>
      <c r="M41" s="2957" t="s">
        <v>1331</v>
      </c>
      <c r="N41" s="2957" t="s">
        <v>3122</v>
      </c>
      <c r="O41" s="2957" t="s">
        <v>3200</v>
      </c>
      <c r="P41" s="2957" t="s">
        <v>1331</v>
      </c>
      <c r="Q41" s="2957" t="s">
        <v>1331</v>
      </c>
      <c r="R41" s="2957" t="s">
        <v>1331</v>
      </c>
      <c r="S41" s="2957" t="s">
        <v>1331</v>
      </c>
      <c r="T41" s="2957" t="s">
        <v>1331</v>
      </c>
      <c r="U41" s="2957" t="s">
        <v>1331</v>
      </c>
      <c r="V41" s="2957" t="s">
        <v>1331</v>
      </c>
      <c r="W41" s="2957" t="s">
        <v>3342</v>
      </c>
      <c r="X41" s="2957" t="s">
        <v>3349</v>
      </c>
      <c r="Y41" s="2957" t="s">
        <v>3350</v>
      </c>
      <c r="Z41" s="2957" t="s">
        <v>3351</v>
      </c>
      <c r="AA41" s="2957" t="s">
        <v>3351</v>
      </c>
      <c r="AB41" s="2957" t="s">
        <v>3352</v>
      </c>
      <c r="AC41" s="2957" t="s">
        <v>3129</v>
      </c>
      <c r="AD41" s="2957" t="s">
        <v>3361</v>
      </c>
      <c r="AE41" s="2957">
        <v>430</v>
      </c>
      <c r="AF41" s="2957">
        <v>2125.19</v>
      </c>
      <c r="AG41" s="2957">
        <v>2125.19</v>
      </c>
      <c r="AH41" s="2957">
        <v>92</v>
      </c>
      <c r="AI41" s="2957">
        <v>92</v>
      </c>
      <c r="AJ41" s="2957">
        <v>306.66000000000003</v>
      </c>
      <c r="AK41" s="2957">
        <v>306.67</v>
      </c>
      <c r="AL41" s="2957" t="s">
        <v>1331</v>
      </c>
      <c r="AM41" s="2957" t="s">
        <v>1331</v>
      </c>
      <c r="AN41" s="2957">
        <v>0</v>
      </c>
      <c r="AO41" s="2957" t="s">
        <v>3131</v>
      </c>
      <c r="AP41" s="2957" t="s">
        <v>1331</v>
      </c>
      <c r="AQ41" s="2957" t="s">
        <v>1331</v>
      </c>
      <c r="AR41" s="2957" t="s">
        <v>1331</v>
      </c>
      <c r="AU41" s="2957">
        <f t="shared" si="0"/>
        <v>1380</v>
      </c>
    </row>
    <row r="42" spans="1:47" s="2965" customFormat="1" ht="12">
      <c r="A42" s="2965" t="s">
        <v>3362</v>
      </c>
      <c r="B42" s="2965" t="s">
        <v>3116</v>
      </c>
      <c r="C42" s="2965" t="s">
        <v>3117</v>
      </c>
      <c r="D42" s="2965" t="s">
        <v>3139</v>
      </c>
      <c r="E42" s="2965" t="s">
        <v>1331</v>
      </c>
      <c r="F42" s="2965" t="s">
        <v>3362</v>
      </c>
      <c r="G42" s="2965" t="s">
        <v>3119</v>
      </c>
      <c r="H42" s="2965" t="s">
        <v>3363</v>
      </c>
      <c r="I42" s="2965" t="s">
        <v>3153</v>
      </c>
      <c r="J42" s="2965">
        <v>128961.1</v>
      </c>
      <c r="K42" s="2965">
        <v>283714.40000000002</v>
      </c>
      <c r="L42" s="2965" t="s">
        <v>3364</v>
      </c>
      <c r="M42" s="2965" t="s">
        <v>1331</v>
      </c>
      <c r="N42" s="2965" t="s">
        <v>3274</v>
      </c>
      <c r="O42" s="2965" t="s">
        <v>3251</v>
      </c>
      <c r="P42" s="2965" t="s">
        <v>1331</v>
      </c>
      <c r="Q42" s="2965" t="s">
        <v>1331</v>
      </c>
      <c r="R42" s="2965" t="s">
        <v>1331</v>
      </c>
      <c r="S42" s="2965" t="s">
        <v>1331</v>
      </c>
      <c r="T42" s="2965" t="s">
        <v>1331</v>
      </c>
      <c r="U42" s="2965" t="s">
        <v>1331</v>
      </c>
      <c r="V42" s="2965" t="s">
        <v>1331</v>
      </c>
      <c r="W42" s="2965" t="s">
        <v>3342</v>
      </c>
      <c r="X42" s="2965" t="s">
        <v>3365</v>
      </c>
      <c r="Y42" s="2965" t="s">
        <v>3366</v>
      </c>
      <c r="Z42" s="2965" t="s">
        <v>3367</v>
      </c>
      <c r="AA42" s="2965" t="s">
        <v>3367</v>
      </c>
      <c r="AB42" s="2965" t="s">
        <v>3368</v>
      </c>
      <c r="AC42" s="2965" t="s">
        <v>3129</v>
      </c>
      <c r="AD42" s="2965" t="s">
        <v>3136</v>
      </c>
      <c r="AE42" s="2965">
        <v>19000</v>
      </c>
      <c r="AF42" s="2965">
        <v>47500</v>
      </c>
      <c r="AG42" s="2965">
        <v>47500</v>
      </c>
      <c r="AH42" s="2965">
        <v>245.55</v>
      </c>
      <c r="AI42" s="2965">
        <v>245.55</v>
      </c>
      <c r="AJ42" s="2965">
        <v>1674.21</v>
      </c>
      <c r="AK42" s="2965">
        <v>1674.22</v>
      </c>
      <c r="AL42" s="2965" t="s">
        <v>1331</v>
      </c>
      <c r="AM42" s="2965" t="s">
        <v>1331</v>
      </c>
      <c r="AN42" s="2965">
        <v>0</v>
      </c>
      <c r="AO42" s="2965" t="s">
        <v>3131</v>
      </c>
      <c r="AP42" s="2965" t="s">
        <v>1331</v>
      </c>
      <c r="AQ42" s="2965" t="s">
        <v>1331</v>
      </c>
      <c r="AR42" s="2965" t="s">
        <v>1331</v>
      </c>
      <c r="AU42" s="2965">
        <f t="shared" si="0"/>
        <v>3683</v>
      </c>
    </row>
  </sheetData>
  <autoFilter ref="A1:AR42"/>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0" sqref="M2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60" t="s">
        <v>2647</v>
      </c>
      <c r="D4" s="3173"/>
      <c r="E4" s="3174" t="s">
        <v>2648</v>
      </c>
      <c r="F4" s="3175"/>
      <c r="G4" s="3160" t="s">
        <v>2649</v>
      </c>
      <c r="H4" s="3173"/>
      <c r="I4" s="3160" t="s">
        <v>2650</v>
      </c>
      <c r="J4" s="3173"/>
      <c r="K4" s="610" t="s">
        <v>2651</v>
      </c>
      <c r="L4" s="1130"/>
      <c r="M4" s="1131"/>
      <c r="N4" s="1131"/>
      <c r="O4" s="1131"/>
      <c r="P4" s="3176" t="s">
        <v>2652</v>
      </c>
      <c r="Q4" s="3177"/>
      <c r="R4" s="3182" t="s">
        <v>2648</v>
      </c>
      <c r="S4" s="3183"/>
      <c r="T4" s="3182" t="s">
        <v>2649</v>
      </c>
      <c r="U4" s="3183"/>
      <c r="V4" s="3169" t="s">
        <v>2650</v>
      </c>
      <c r="W4" s="3169"/>
      <c r="X4" s="1811"/>
      <c r="Y4" s="3182" t="s">
        <v>2652</v>
      </c>
      <c r="Z4" s="3183"/>
      <c r="AA4" s="3170" t="s">
        <v>2648</v>
      </c>
      <c r="AB4" s="3171" t="s">
        <v>2649</v>
      </c>
      <c r="AC4" s="3170" t="s">
        <v>2650</v>
      </c>
    </row>
    <row r="5" spans="1:29">
      <c r="A5" s="404"/>
      <c r="B5" s="405"/>
      <c r="C5" s="3190" t="s">
        <v>2543</v>
      </c>
      <c r="D5" s="3191"/>
      <c r="E5" s="3199" t="s">
        <v>2544</v>
      </c>
      <c r="F5" s="3200"/>
      <c r="G5" s="3190" t="s">
        <v>2545</v>
      </c>
      <c r="H5" s="3191"/>
      <c r="I5" s="3190" t="s">
        <v>2546</v>
      </c>
      <c r="J5" s="3191"/>
      <c r="K5" s="610"/>
      <c r="L5" s="1130"/>
      <c r="M5" s="1131"/>
      <c r="N5" s="1131"/>
      <c r="O5" s="1131"/>
      <c r="P5" s="3178"/>
      <c r="Q5" s="3179"/>
      <c r="R5" s="3184"/>
      <c r="S5" s="3185"/>
      <c r="T5" s="3184"/>
      <c r="U5" s="3185"/>
      <c r="V5" s="3169"/>
      <c r="W5" s="3169"/>
      <c r="X5" s="1811"/>
      <c r="Y5" s="3184"/>
      <c r="Z5" s="3185"/>
      <c r="AA5" s="3171"/>
      <c r="AB5" s="3171"/>
      <c r="AC5" s="3171"/>
    </row>
    <row r="6" spans="1:29" ht="15" thickBot="1">
      <c r="A6" s="406"/>
      <c r="B6" s="407"/>
      <c r="C6" s="3257" t="s">
        <v>2797</v>
      </c>
      <c r="D6" s="3258"/>
      <c r="E6" s="3259" t="s">
        <v>2797</v>
      </c>
      <c r="F6" s="3260"/>
      <c r="G6" s="3257" t="s">
        <v>2797</v>
      </c>
      <c r="H6" s="3258"/>
      <c r="I6" s="3257" t="s">
        <v>2797</v>
      </c>
      <c r="J6" s="3258"/>
      <c r="K6" s="610" t="s">
        <v>2548</v>
      </c>
      <c r="L6" s="1130"/>
      <c r="M6" s="1131"/>
      <c r="N6" s="1131"/>
      <c r="O6" s="1131"/>
      <c r="P6" s="3180"/>
      <c r="Q6" s="3181"/>
      <c r="R6" s="3184"/>
      <c r="S6" s="3185"/>
      <c r="T6" s="3186"/>
      <c r="U6" s="3187"/>
      <c r="V6" s="3169"/>
      <c r="W6" s="3169"/>
      <c r="X6" s="1811"/>
      <c r="Y6" s="3186"/>
      <c r="Z6" s="3187"/>
      <c r="AA6" s="3172"/>
      <c r="AB6" s="3172"/>
      <c r="AC6" s="3172"/>
    </row>
    <row r="7" spans="1:29" s="117" customFormat="1" ht="15" thickBot="1">
      <c r="A7" s="408" t="s">
        <v>2549</v>
      </c>
      <c r="B7" s="409"/>
      <c r="C7" s="410">
        <f>'数据-取费表'!B2</f>
        <v>43342</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ht="14.4">
      <c r="A9" s="415" t="s">
        <v>2554</v>
      </c>
      <c r="B9" s="71" t="s">
        <v>2555</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63" t="s">
        <v>2556</v>
      </c>
      <c r="Q9" s="1793"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63"/>
      <c r="Q10" s="1793" t="str">
        <f t="shared" si="6"/>
        <v>土地使用年限（年）</v>
      </c>
      <c r="R10" s="770" t="s">
        <v>17</v>
      </c>
      <c r="S10" s="771">
        <f t="shared" si="0"/>
        <v>101</v>
      </c>
      <c r="T10" s="770" t="s">
        <v>17</v>
      </c>
      <c r="U10" s="771">
        <f t="shared" si="1"/>
        <v>101</v>
      </c>
      <c r="V10" s="770" t="s">
        <v>17</v>
      </c>
      <c r="W10" s="771">
        <f t="shared" si="2"/>
        <v>101</v>
      </c>
      <c r="X10" s="772"/>
      <c r="Y10" s="3014"/>
      <c r="Z10" s="55" t="str">
        <f t="shared" si="7"/>
        <v>土地使用年限（年）</v>
      </c>
      <c r="AA10" s="773">
        <f t="shared" si="3"/>
        <v>0.99009900990099009</v>
      </c>
      <c r="AB10" s="773">
        <f t="shared" si="4"/>
        <v>0.99009900990099009</v>
      </c>
      <c r="AC10" s="773">
        <f t="shared" si="5"/>
        <v>0.99009900990099009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3"/>
      <c r="Q11" s="1793"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3"/>
      <c r="Q12" s="1793">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3"/>
      <c r="Q13" s="1793">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3"/>
      <c r="Q14" s="1793">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69">
      <c r="A15" s="440" t="s">
        <v>2560</v>
      </c>
      <c r="B15" s="629" t="s">
        <v>2798</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65" t="s">
        <v>2561</v>
      </c>
      <c r="Q15" s="1808" t="str">
        <f t="shared" si="6"/>
        <v>产业集聚程度</v>
      </c>
      <c r="R15" s="774" t="s">
        <v>17</v>
      </c>
      <c r="S15" s="775">
        <f t="shared" si="0"/>
        <v>100</v>
      </c>
      <c r="T15" s="774" t="s">
        <v>17</v>
      </c>
      <c r="U15" s="775">
        <f t="shared" si="1"/>
        <v>100</v>
      </c>
      <c r="V15" s="774" t="s">
        <v>17</v>
      </c>
      <c r="W15" s="775">
        <f t="shared" si="2"/>
        <v>100</v>
      </c>
      <c r="X15" s="1811"/>
      <c r="Y15" s="3165" t="s">
        <v>2561</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40"/>
      <c r="M16" s="1131"/>
      <c r="N16" s="1131"/>
      <c r="O16" s="1139"/>
      <c r="P16" s="3166"/>
      <c r="Q16" s="1808"/>
      <c r="R16" s="774"/>
      <c r="S16" s="775"/>
      <c r="T16" s="774"/>
      <c r="U16" s="775"/>
      <c r="V16" s="774"/>
      <c r="W16" s="775"/>
      <c r="X16" s="1811"/>
      <c r="Y16" s="3166"/>
      <c r="Z16" s="1812"/>
      <c r="AA16" s="1809">
        <v>1</v>
      </c>
      <c r="AB16" s="1809">
        <v>1</v>
      </c>
      <c r="AC16" s="1809">
        <v>1</v>
      </c>
    </row>
    <row r="17" spans="1:29" ht="96.6">
      <c r="A17" s="428"/>
      <c r="B17" s="631" t="s">
        <v>2710</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6"/>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40"/>
      <c r="M18" s="1131"/>
      <c r="N18" s="1131"/>
      <c r="O18" s="1139"/>
      <c r="P18" s="3166"/>
      <c r="Q18" s="1808"/>
      <c r="R18" s="774"/>
      <c r="S18" s="775"/>
      <c r="T18" s="774"/>
      <c r="U18" s="775"/>
      <c r="V18" s="774"/>
      <c r="W18" s="775"/>
      <c r="X18" s="1811"/>
      <c r="Y18" s="3166"/>
      <c r="Z18" s="1812"/>
      <c r="AA18" s="1809">
        <v>1</v>
      </c>
      <c r="AB18" s="1809">
        <v>1</v>
      </c>
      <c r="AC18" s="1809">
        <v>1</v>
      </c>
    </row>
    <row r="19" spans="1:29" ht="28.8">
      <c r="A19" s="428"/>
      <c r="B19" s="631" t="s">
        <v>2749</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6"/>
      <c r="Q19" s="1808" t="str">
        <f t="shared" ref="Q19:Q33" si="8">B19</f>
        <v>区域土地利用方向</v>
      </c>
      <c r="R19" s="774" t="s">
        <v>17</v>
      </c>
      <c r="S19" s="775">
        <f>F19</f>
        <v>100</v>
      </c>
      <c r="T19" s="774" t="s">
        <v>17</v>
      </c>
      <c r="U19" s="775">
        <f>H19</f>
        <v>100</v>
      </c>
      <c r="V19" s="774" t="s">
        <v>17</v>
      </c>
      <c r="W19" s="775">
        <f>J19</f>
        <v>100</v>
      </c>
      <c r="X19" s="1811"/>
      <c r="Y19" s="3166"/>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09"/>
      <c r="L20" s="1140"/>
      <c r="M20" s="1131"/>
      <c r="N20" s="1131"/>
      <c r="O20" s="1139"/>
      <c r="P20" s="3166"/>
      <c r="Q20" s="1808"/>
      <c r="R20" s="774"/>
      <c r="S20" s="775"/>
      <c r="T20" s="774"/>
      <c r="U20" s="775"/>
      <c r="V20" s="774"/>
      <c r="W20" s="775"/>
      <c r="X20" s="1811"/>
      <c r="Y20" s="3166"/>
      <c r="Z20" s="1812"/>
      <c r="AA20" s="1809"/>
      <c r="AB20" s="1809"/>
      <c r="AC20" s="1809"/>
    </row>
    <row r="21" spans="1:29" ht="82.8">
      <c r="A21" s="404"/>
      <c r="B21" s="631" t="s">
        <v>2799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6"/>
      <c r="Q21" s="1808" t="str">
        <f t="shared" si="8"/>
        <v>环境状况</v>
      </c>
      <c r="R21" s="774" t="s">
        <v>17</v>
      </c>
      <c r="S21" s="775">
        <f>F21</f>
        <v>100</v>
      </c>
      <c r="T21" s="774" t="s">
        <v>17</v>
      </c>
      <c r="U21" s="775">
        <f>H21</f>
        <v>100</v>
      </c>
      <c r="V21" s="774" t="s">
        <v>17</v>
      </c>
      <c r="W21" s="775">
        <f>J21</f>
        <v>100</v>
      </c>
      <c r="X21" s="1811"/>
      <c r="Y21" s="3166"/>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40"/>
      <c r="M22" s="1131"/>
      <c r="N22" s="1131"/>
      <c r="O22" s="1139"/>
      <c r="P22" s="3166"/>
      <c r="Q22" s="1808"/>
      <c r="R22" s="774"/>
      <c r="S22" s="775"/>
      <c r="T22" s="774"/>
      <c r="U22" s="775"/>
      <c r="V22" s="774"/>
      <c r="W22" s="775"/>
      <c r="X22" s="1811"/>
      <c r="Y22" s="3166"/>
      <c r="Z22" s="1812"/>
      <c r="AA22" s="1809">
        <v>1</v>
      </c>
      <c r="AB22" s="1809">
        <v>1</v>
      </c>
      <c r="AC22" s="1809">
        <v>1</v>
      </c>
    </row>
    <row r="23" spans="1:29" s="117" customFormat="1" ht="41.4">
      <c r="A23" s="649"/>
      <c r="B23" s="633" t="s">
        <v>2655</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6"/>
      <c r="Q23" s="1793" t="str">
        <f t="shared" si="8"/>
        <v>公共配套设施</v>
      </c>
      <c r="R23" s="770" t="s">
        <v>17</v>
      </c>
      <c r="S23" s="771">
        <f>F23</f>
        <v>100</v>
      </c>
      <c r="T23" s="770" t="s">
        <v>17</v>
      </c>
      <c r="U23" s="771">
        <f>H23</f>
        <v>100</v>
      </c>
      <c r="V23" s="770" t="s">
        <v>17</v>
      </c>
      <c r="W23" s="771">
        <f>J23</f>
        <v>100</v>
      </c>
      <c r="X23" s="772"/>
      <c r="Y23" s="3166"/>
      <c r="Z23" s="55" t="str">
        <f>Q23</f>
        <v>公共配套设施</v>
      </c>
      <c r="AA23" s="1809">
        <f>D23/F23</f>
        <v>1</v>
      </c>
      <c r="AB23" s="1809">
        <f>D23/H23</f>
        <v>1</v>
      </c>
      <c r="AC23" s="1809">
        <f>D23/J23</f>
        <v>1</v>
      </c>
    </row>
    <row r="24" spans="1:29" s="117" customFormat="1" ht="15">
      <c r="A24" s="649"/>
      <c r="B24" s="632"/>
      <c r="C24" s="2694"/>
      <c r="D24" s="448"/>
      <c r="E24" s="2607"/>
      <c r="F24" s="448"/>
      <c r="G24" s="2607"/>
      <c r="H24" s="448"/>
      <c r="I24" s="447"/>
      <c r="J24" s="448"/>
      <c r="K24" s="672"/>
      <c r="L24" s="1132"/>
      <c r="M24" s="1133"/>
      <c r="N24" s="1133"/>
      <c r="O24" s="1134"/>
      <c r="P24" s="3166"/>
      <c r="Q24" s="1793"/>
      <c r="R24" s="770"/>
      <c r="S24" s="771"/>
      <c r="T24" s="770"/>
      <c r="U24" s="771"/>
      <c r="V24" s="770"/>
      <c r="W24" s="771"/>
      <c r="X24" s="772"/>
      <c r="Y24" s="3166"/>
      <c r="Z24" s="55"/>
      <c r="AA24" s="773">
        <v>1</v>
      </c>
      <c r="AB24" s="773">
        <v>1</v>
      </c>
      <c r="AC24" s="773">
        <v>1</v>
      </c>
    </row>
    <row r="25" spans="1:29" s="117" customFormat="1" ht="41.4">
      <c r="A25" s="649"/>
      <c r="B25" s="633" t="s">
        <v>2656</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6"/>
      <c r="Q25" s="1793" t="str">
        <f t="shared" ref="Q25" si="9">B25</f>
        <v>基础设施水平</v>
      </c>
      <c r="R25" s="770" t="s">
        <v>17</v>
      </c>
      <c r="S25" s="771">
        <f>F25</f>
        <v>100</v>
      </c>
      <c r="T25" s="770" t="s">
        <v>17</v>
      </c>
      <c r="U25" s="771">
        <f>H25</f>
        <v>100</v>
      </c>
      <c r="V25" s="770" t="s">
        <v>17</v>
      </c>
      <c r="W25" s="771">
        <f>J25</f>
        <v>100</v>
      </c>
      <c r="X25" s="772"/>
      <c r="Y25" s="3166"/>
      <c r="Z25" s="55" t="str">
        <f>Q25</f>
        <v>基础设施水平</v>
      </c>
      <c r="AA25" s="1809">
        <f>D25/F25</f>
        <v>1</v>
      </c>
      <c r="AB25" s="1809">
        <f>D25/H25</f>
        <v>1</v>
      </c>
      <c r="AC25" s="1809">
        <f>D25/J25</f>
        <v>1</v>
      </c>
    </row>
    <row r="26" spans="1:29" s="117" customFormat="1" ht="15">
      <c r="A26" s="649"/>
      <c r="B26" s="632"/>
      <c r="C26" s="2694"/>
      <c r="D26" s="448"/>
      <c r="E26" s="2695"/>
      <c r="F26" s="448"/>
      <c r="G26" s="2695"/>
      <c r="H26" s="448"/>
      <c r="I26" s="2695"/>
      <c r="J26" s="448"/>
      <c r="K26" s="672"/>
      <c r="L26" s="1132"/>
      <c r="M26" s="1133"/>
      <c r="N26" s="1133"/>
      <c r="O26" s="1134"/>
      <c r="P26" s="3166"/>
      <c r="Q26" s="1793"/>
      <c r="R26" s="770"/>
      <c r="S26" s="771"/>
      <c r="T26" s="770"/>
      <c r="U26" s="771"/>
      <c r="V26" s="770"/>
      <c r="W26" s="771"/>
      <c r="X26" s="772"/>
      <c r="Y26" s="316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6"/>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66"/>
      <c r="Z27" s="1812" t="str">
        <f t="shared" ref="Z27:Z40" si="13">Q27</f>
        <v>临街状况</v>
      </c>
      <c r="AA27" s="1809">
        <f t="shared" si="3"/>
        <v>1</v>
      </c>
      <c r="AB27" s="1809">
        <f t="shared" si="4"/>
        <v>1</v>
      </c>
      <c r="AC27" s="1809">
        <f t="shared" si="5"/>
        <v>1</v>
      </c>
    </row>
    <row r="28" spans="1:29" ht="28.8">
      <c r="A28" s="428"/>
      <c r="B28" s="633" t="s">
        <v>2692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6"/>
      <c r="Q28" s="1808" t="str">
        <f t="shared" si="8"/>
        <v>毗邻道路的类型与等级</v>
      </c>
      <c r="R28" s="774" t="s">
        <v>17</v>
      </c>
      <c r="S28" s="775">
        <f t="shared" si="10"/>
        <v>100</v>
      </c>
      <c r="T28" s="774" t="s">
        <v>17</v>
      </c>
      <c r="U28" s="775">
        <f t="shared" si="11"/>
        <v>100</v>
      </c>
      <c r="V28" s="774" t="s">
        <v>17</v>
      </c>
      <c r="W28" s="775">
        <f t="shared" si="12"/>
        <v>100</v>
      </c>
      <c r="X28" s="1811"/>
      <c r="Y28" s="3166"/>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40"/>
      <c r="M29" s="1131"/>
      <c r="N29" s="1131"/>
      <c r="O29" s="1139"/>
      <c r="P29" s="3166"/>
      <c r="Q29" s="1808"/>
      <c r="R29" s="774"/>
      <c r="S29" s="775"/>
      <c r="T29" s="774"/>
      <c r="U29" s="775"/>
      <c r="V29" s="774"/>
      <c r="W29" s="775"/>
      <c r="X29" s="1811"/>
      <c r="Y29" s="3166"/>
      <c r="Z29" s="1812"/>
      <c r="AA29" s="1809">
        <v>1</v>
      </c>
      <c r="AB29" s="1809">
        <v>1</v>
      </c>
      <c r="AC29" s="1809">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6"/>
      <c r="Q30" s="1808" t="str">
        <f t="shared" si="8"/>
        <v>土地级别</v>
      </c>
      <c r="R30" s="774" t="s">
        <v>17</v>
      </c>
      <c r="S30" s="775">
        <f t="shared" si="10"/>
        <v>100</v>
      </c>
      <c r="T30" s="774" t="s">
        <v>17</v>
      </c>
      <c r="U30" s="775">
        <f t="shared" si="11"/>
        <v>100</v>
      </c>
      <c r="V30" s="774" t="s">
        <v>17</v>
      </c>
      <c r="W30" s="775">
        <f t="shared" si="12"/>
        <v>100</v>
      </c>
      <c r="X30" s="1811"/>
      <c r="Y30" s="3166"/>
      <c r="Z30" s="1812" t="str">
        <f t="shared" si="13"/>
        <v>土地级别</v>
      </c>
      <c r="AA30" s="1809">
        <f t="shared" si="3"/>
        <v>1</v>
      </c>
      <c r="AB30" s="1809">
        <f t="shared" si="4"/>
        <v>1</v>
      </c>
      <c r="AC30" s="1809">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6"/>
      <c r="Q31" s="1808">
        <f t="shared" si="8"/>
        <v>111</v>
      </c>
      <c r="R31" s="774" t="s">
        <v>17</v>
      </c>
      <c r="S31" s="775">
        <f t="shared" si="10"/>
        <v>100</v>
      </c>
      <c r="T31" s="774" t="s">
        <v>17</v>
      </c>
      <c r="U31" s="775">
        <f t="shared" si="11"/>
        <v>100</v>
      </c>
      <c r="V31" s="774" t="s">
        <v>17</v>
      </c>
      <c r="W31" s="775">
        <f t="shared" si="12"/>
        <v>100</v>
      </c>
      <c r="X31" s="1811"/>
      <c r="Y31" s="3166"/>
      <c r="Z31" s="1812">
        <f t="shared" si="13"/>
        <v>111</v>
      </c>
      <c r="AA31" s="1809">
        <f t="shared" si="3"/>
        <v>1</v>
      </c>
      <c r="AB31" s="1809">
        <f t="shared" si="4"/>
        <v>1</v>
      </c>
      <c r="AC31" s="1809">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7" t="s">
        <v>2566</v>
      </c>
      <c r="Q32" s="1808">
        <f t="shared" si="8"/>
        <v>111</v>
      </c>
      <c r="R32" s="774" t="s">
        <v>17</v>
      </c>
      <c r="S32" s="775">
        <f t="shared" si="10"/>
        <v>100</v>
      </c>
      <c r="T32" s="774" t="s">
        <v>17</v>
      </c>
      <c r="U32" s="775">
        <f t="shared" si="11"/>
        <v>100</v>
      </c>
      <c r="V32" s="774" t="s">
        <v>17</v>
      </c>
      <c r="W32" s="775">
        <f t="shared" si="12"/>
        <v>100</v>
      </c>
      <c r="X32" s="1811"/>
      <c r="Y32" s="3168" t="s">
        <v>2566</v>
      </c>
      <c r="Z32" s="1812">
        <f t="shared" si="13"/>
        <v>111</v>
      </c>
      <c r="AA32" s="1809">
        <f t="shared" si="3"/>
        <v>1</v>
      </c>
      <c r="AB32" s="1809">
        <f t="shared" si="4"/>
        <v>1</v>
      </c>
      <c r="AC32" s="1809">
        <f t="shared" si="5"/>
        <v>1</v>
      </c>
    </row>
    <row r="33" spans="1:29" s="471" customFormat="1" ht="15.6"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8"/>
      <c r="Q33" s="1808">
        <f t="shared" si="8"/>
        <v>111</v>
      </c>
      <c r="R33" s="777" t="s">
        <v>17</v>
      </c>
      <c r="S33" s="778">
        <f t="shared" si="10"/>
        <v>100</v>
      </c>
      <c r="T33" s="777" t="s">
        <v>17</v>
      </c>
      <c r="U33" s="778">
        <f t="shared" si="11"/>
        <v>100</v>
      </c>
      <c r="V33" s="777" t="s">
        <v>17</v>
      </c>
      <c r="W33" s="778">
        <f t="shared" si="12"/>
        <v>100</v>
      </c>
      <c r="X33" s="779"/>
      <c r="Y33" s="3168"/>
      <c r="Z33" s="780">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8"/>
      <c r="Q34" s="1808" t="str">
        <f>B34</f>
        <v>宗地面积</v>
      </c>
      <c r="R34" s="774" t="s">
        <v>17</v>
      </c>
      <c r="S34" s="775" t="e">
        <f t="shared" si="10"/>
        <v>#N/A</v>
      </c>
      <c r="T34" s="774" t="s">
        <v>17</v>
      </c>
      <c r="U34" s="775" t="e">
        <f t="shared" si="11"/>
        <v>#N/A</v>
      </c>
      <c r="V34" s="774" t="s">
        <v>17</v>
      </c>
      <c r="W34" s="775" t="e">
        <f t="shared" si="12"/>
        <v>#N/A</v>
      </c>
      <c r="X34" s="1811"/>
      <c r="Y34" s="3168"/>
      <c r="Z34" s="1812" t="str">
        <f t="shared" si="13"/>
        <v>宗地面积</v>
      </c>
      <c r="AA34" s="1809" t="e">
        <f t="shared" si="3"/>
        <v>#N/A</v>
      </c>
      <c r="AB34" s="1809" t="e">
        <f t="shared" si="4"/>
        <v>#N/A</v>
      </c>
      <c r="AC34" s="1809"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68"/>
      <c r="Q35" s="1808" t="str">
        <f t="shared" ref="Q35:Q40" si="14">B35</f>
        <v>宗地形状</v>
      </c>
      <c r="R35" s="774" t="s">
        <v>17</v>
      </c>
      <c r="S35" s="775">
        <f t="shared" si="10"/>
        <v>100</v>
      </c>
      <c r="T35" s="774" t="s">
        <v>17</v>
      </c>
      <c r="U35" s="775">
        <f t="shared" si="11"/>
        <v>100</v>
      </c>
      <c r="V35" s="774" t="s">
        <v>17</v>
      </c>
      <c r="W35" s="775">
        <f t="shared" si="12"/>
        <v>100</v>
      </c>
      <c r="X35" s="1811"/>
      <c r="Y35" s="3168"/>
      <c r="Z35" s="1812" t="str">
        <f t="shared" si="13"/>
        <v>宗地形状</v>
      </c>
      <c r="AA35" s="1809">
        <f t="shared" si="3"/>
        <v>1</v>
      </c>
      <c r="AB35" s="1809">
        <f t="shared" si="4"/>
        <v>1</v>
      </c>
      <c r="AC35" s="1809">
        <f t="shared" si="5"/>
        <v>1</v>
      </c>
    </row>
    <row r="36" spans="1:29" s="117" customFormat="1" ht="15">
      <c r="A36" s="473"/>
      <c r="B36" s="422" t="s">
        <v>2755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168"/>
      <c r="Q36" s="1808" t="str">
        <f t="shared" si="14"/>
        <v>宗地开发程度</v>
      </c>
      <c r="R36" s="770" t="s">
        <v>17</v>
      </c>
      <c r="S36" s="771">
        <f t="shared" si="10"/>
        <v>100</v>
      </c>
      <c r="T36" s="770" t="s">
        <v>17</v>
      </c>
      <c r="U36" s="771">
        <f t="shared" si="11"/>
        <v>100</v>
      </c>
      <c r="V36" s="770" t="s">
        <v>17</v>
      </c>
      <c r="W36" s="771">
        <f t="shared" si="12"/>
        <v>100</v>
      </c>
      <c r="X36" s="772"/>
      <c r="Y36" s="3168"/>
      <c r="Z36" s="55" t="str">
        <f t="shared" si="13"/>
        <v>宗地开发程度</v>
      </c>
      <c r="AA36" s="773">
        <f t="shared" si="3"/>
        <v>1</v>
      </c>
      <c r="AB36" s="773">
        <f t="shared" si="4"/>
        <v>1</v>
      </c>
      <c r="AC36" s="773">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68" t="s">
        <v>2566</v>
      </c>
      <c r="Q37" s="1808" t="str">
        <f t="shared" si="14"/>
        <v>工程地质条件</v>
      </c>
      <c r="R37" s="774" t="s">
        <v>17</v>
      </c>
      <c r="S37" s="775">
        <f t="shared" si="10"/>
        <v>100</v>
      </c>
      <c r="T37" s="774" t="s">
        <v>17</v>
      </c>
      <c r="U37" s="775">
        <f t="shared" si="11"/>
        <v>100</v>
      </c>
      <c r="V37" s="774" t="s">
        <v>17</v>
      </c>
      <c r="W37" s="775">
        <f t="shared" si="12"/>
        <v>100</v>
      </c>
      <c r="X37" s="1811"/>
      <c r="Y37" s="3168" t="s">
        <v>2566</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8"/>
      <c r="Q38" s="1808">
        <f t="shared" si="14"/>
        <v>111</v>
      </c>
      <c r="R38" s="774" t="s">
        <v>17</v>
      </c>
      <c r="S38" s="775">
        <f t="shared" si="10"/>
        <v>100</v>
      </c>
      <c r="T38" s="774" t="s">
        <v>17</v>
      </c>
      <c r="U38" s="775">
        <f t="shared" si="11"/>
        <v>100</v>
      </c>
      <c r="V38" s="774" t="s">
        <v>17</v>
      </c>
      <c r="W38" s="775">
        <f t="shared" si="12"/>
        <v>100</v>
      </c>
      <c r="X38" s="1811"/>
      <c r="Y38" s="3168"/>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8"/>
      <c r="Q39" s="1808">
        <f t="shared" si="14"/>
        <v>111</v>
      </c>
      <c r="R39" s="774" t="s">
        <v>17</v>
      </c>
      <c r="S39" s="775">
        <f t="shared" si="10"/>
        <v>100</v>
      </c>
      <c r="T39" s="774" t="s">
        <v>17</v>
      </c>
      <c r="U39" s="775">
        <f t="shared" si="11"/>
        <v>100</v>
      </c>
      <c r="V39" s="774" t="s">
        <v>17</v>
      </c>
      <c r="W39" s="775">
        <f t="shared" si="12"/>
        <v>100</v>
      </c>
      <c r="X39" s="1811"/>
      <c r="Y39" s="3168"/>
      <c r="Z39" s="1812">
        <f t="shared" si="13"/>
        <v>111</v>
      </c>
      <c r="AA39" s="1809">
        <f t="shared" si="3"/>
        <v>1</v>
      </c>
      <c r="AB39" s="1809">
        <f t="shared" si="4"/>
        <v>1</v>
      </c>
      <c r="AC39" s="1809">
        <f t="shared" si="5"/>
        <v>1</v>
      </c>
    </row>
    <row r="40" spans="1:29" s="471" customFormat="1" ht="15.6"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8"/>
      <c r="Q40" s="1808">
        <f t="shared" si="14"/>
        <v>111</v>
      </c>
      <c r="R40" s="777" t="s">
        <v>17</v>
      </c>
      <c r="S40" s="778">
        <f t="shared" si="10"/>
        <v>100</v>
      </c>
      <c r="T40" s="777" t="s">
        <v>17</v>
      </c>
      <c r="U40" s="778">
        <f t="shared" si="11"/>
        <v>100</v>
      </c>
      <c r="V40" s="777" t="s">
        <v>17</v>
      </c>
      <c r="W40" s="778">
        <f t="shared" si="12"/>
        <v>100</v>
      </c>
      <c r="X40" s="779"/>
      <c r="Y40" s="3168"/>
      <c r="Z40" s="780">
        <f t="shared" si="13"/>
        <v>111</v>
      </c>
      <c r="AA40" s="1809">
        <f t="shared" si="3"/>
        <v>1</v>
      </c>
      <c r="AB40" s="1809">
        <f t="shared" si="4"/>
        <v>1</v>
      </c>
      <c r="AC40" s="1809">
        <f t="shared" si="5"/>
        <v>1</v>
      </c>
    </row>
    <row r="41" spans="1:29" ht="14.4">
      <c r="A41" s="479" t="s">
        <v>2721</v>
      </c>
      <c r="B41" s="2698" t="s">
        <v>2800</v>
      </c>
      <c r="C41" s="682" t="s">
        <v>1</v>
      </c>
      <c r="D41" s="481"/>
      <c r="E41" s="482"/>
      <c r="F41" s="483"/>
      <c r="G41" s="484"/>
      <c r="H41" s="485"/>
      <c r="I41" s="482"/>
      <c r="J41" s="485"/>
      <c r="K41" s="783"/>
      <c r="L41" s="1143"/>
      <c r="M41" s="1131"/>
      <c r="N41" s="1131"/>
      <c r="O41" s="1144"/>
      <c r="P41" s="3163" t="str">
        <f>A41</f>
        <v>成交单价</v>
      </c>
      <c r="Q41" s="3163"/>
      <c r="R41" s="3169">
        <f>E41</f>
        <v>0</v>
      </c>
      <c r="S41" s="3169"/>
      <c r="T41" s="3169">
        <f>G41</f>
        <v>0</v>
      </c>
      <c r="U41" s="3169"/>
      <c r="V41" s="3169">
        <f>I41</f>
        <v>0</v>
      </c>
      <c r="W41" s="3169"/>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63" t="str">
        <f>A42</f>
        <v>比较价值（元/平方米）</v>
      </c>
      <c r="Q42" s="3163"/>
      <c r="R42" s="3156" t="e">
        <f>ROUND(PRODUCT(R41,AA7:AA40),0)</f>
        <v>#DIV/0!</v>
      </c>
      <c r="S42" s="3156"/>
      <c r="T42" s="3156" t="e">
        <f>ROUND(PRODUCT(T41,AB7:AB40),0)</f>
        <v>#DIV/0!</v>
      </c>
      <c r="U42" s="3156"/>
      <c r="V42" s="3156" t="e">
        <f>ROUND(PRODUCT(V41,AC7:AC40),0)</f>
        <v>#DIV/0!</v>
      </c>
      <c r="W42" s="3156"/>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3"/>
      <c r="M43" s="1131"/>
      <c r="N43" s="1131"/>
      <c r="O43" s="1144"/>
      <c r="P43" s="3157" t="str">
        <f>A43</f>
        <v>估价对象XX用房的比较价值（楼面单价，元/平方米）</v>
      </c>
      <c r="Q43" s="3158"/>
      <c r="R43" s="3159" t="e">
        <f>ROUND(AVERAGE(R42:V42),0)</f>
        <v>#DIV/0!</v>
      </c>
      <c r="S43" s="3159"/>
      <c r="T43" s="3159"/>
      <c r="U43" s="3159"/>
      <c r="V43" s="3159"/>
      <c r="W43" s="315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2758</v>
      </c>
      <c r="B50" s="685" t="s">
        <v>2759</v>
      </c>
      <c r="C50" s="2699" t="s">
        <v>2760</v>
      </c>
      <c r="D50" s="2700" t="s">
        <v>2761</v>
      </c>
      <c r="E50" s="686" t="s">
        <v>2762</v>
      </c>
      <c r="F50" s="687" t="s">
        <v>2763</v>
      </c>
      <c r="G50" s="3160" t="s">
        <v>2764</v>
      </c>
      <c r="H50" s="3161"/>
      <c r="I50" s="1812" t="s">
        <v>2801</v>
      </c>
      <c r="J50" s="1812" t="str">
        <f>项目基本情况!F35</f>
        <v>广西自治区</v>
      </c>
      <c r="K50" s="2702" t="s">
        <v>2766</v>
      </c>
      <c r="L50" s="1106"/>
      <c r="M50" s="1144"/>
      <c r="N50" s="1144"/>
      <c r="O50" s="1144"/>
    </row>
    <row r="51" spans="1:17" s="692" customFormat="1">
      <c r="A51" s="688" t="s">
        <v>2767</v>
      </c>
      <c r="B51" s="689" t="e">
        <f>C43</f>
        <v>#DIV/0!</v>
      </c>
      <c r="C51" s="690">
        <v>1</v>
      </c>
      <c r="D51" s="1163">
        <v>1</v>
      </c>
      <c r="E51" s="690">
        <f>'数据-汇总表'!E8+'数据-汇总表'!E9</f>
        <v>49782.53</v>
      </c>
      <c r="F51" s="691" t="e">
        <f t="shared" ref="F51:F60" si="15">ROUND(B51*E51/10000,0)</f>
        <v>#DIV/0!</v>
      </c>
      <c r="G51" s="3162"/>
      <c r="H51" s="3163"/>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16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16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16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16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3" t="s">
        <v>2769</v>
      </c>
      <c r="H59" s="1104">
        <f>项目基本情况!B37</f>
        <v>0</v>
      </c>
      <c r="I59" s="942">
        <f>SUMIF(修正!A45:A56,H59,修正!H45:H56)</f>
        <v>0</v>
      </c>
      <c r="J59" s="943"/>
      <c r="K59" s="1145"/>
      <c r="L59" s="941"/>
      <c r="M59" s="941"/>
      <c r="N59" s="941"/>
      <c r="O59" s="941"/>
    </row>
    <row r="60" spans="1:17" s="692" customFormat="1" ht="14.4" thickBot="1">
      <c r="A60" s="693" t="s">
        <v>2780</v>
      </c>
      <c r="B60" s="262" t="e">
        <f t="shared" si="17"/>
        <v>#DIV/0!</v>
      </c>
      <c r="C60" s="200">
        <f t="shared" si="16"/>
        <v>0</v>
      </c>
      <c r="D60" s="1164">
        <v>0.25</v>
      </c>
      <c r="E60" s="261">
        <f>'数据-汇总表'!E15</f>
        <v>0</v>
      </c>
      <c r="F60" s="691" t="e">
        <f t="shared" si="15"/>
        <v>#DIV/0!</v>
      </c>
      <c r="G60" s="2704" t="s">
        <v>2774</v>
      </c>
      <c r="H60" s="1114">
        <f>项目基本情况!C37</f>
        <v>0</v>
      </c>
      <c r="I60" s="942">
        <f>SUMIF(修正!A45:A56,H60,修正!H45:H56)</f>
        <v>0</v>
      </c>
      <c r="J60" s="943"/>
      <c r="K60" s="1144"/>
      <c r="L60" s="941"/>
      <c r="M60" s="941"/>
      <c r="N60" s="941"/>
      <c r="O60" s="941"/>
    </row>
    <row r="61" spans="1:17" s="692" customFormat="1" ht="14.4" thickBot="1">
      <c r="A61" s="695" t="s">
        <v>2781</v>
      </c>
      <c r="B61" s="696" t="s">
        <v>28</v>
      </c>
      <c r="C61" s="696" t="s">
        <v>29</v>
      </c>
      <c r="D61" s="696" t="s">
        <v>1029</v>
      </c>
      <c r="E61" s="696">
        <f>IF(B41="楼面地价",SUM(E51:E60),'数据-汇总表'!D3)</f>
        <v>28191.57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2675</v>
      </c>
      <c r="B64" s="759"/>
      <c r="C64" s="764"/>
      <c r="D64" s="764"/>
      <c r="E64" s="764"/>
      <c r="F64" s="765"/>
      <c r="G64" s="765"/>
      <c r="H64" s="764"/>
      <c r="I64" s="764"/>
      <c r="J64" s="764"/>
      <c r="K64" s="766"/>
      <c r="L64" s="767"/>
      <c r="M64" s="764"/>
      <c r="N64" s="764"/>
      <c r="O64" s="1159"/>
      <c r="P64" s="503"/>
      <c r="Q64" s="504"/>
    </row>
    <row r="65" spans="1:17" s="508" customFormat="1" ht="14.4">
      <c r="A65" s="2705" t="s">
        <v>2782</v>
      </c>
      <c r="B65" s="1359"/>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7"/>
    </row>
    <row r="66" spans="1:17" s="117" customFormat="1" ht="30.75" customHeight="1">
      <c r="A66" s="2710" t="s">
        <v>2802</v>
      </c>
      <c r="B66" s="332" t="str">
        <f>"北京市平均增长率"&amp;TEXT(基准地价修正!P24,"0.00%")</f>
        <v>北京市平均增长率0.00%</v>
      </c>
      <c r="C66" s="603">
        <v>100</v>
      </c>
      <c r="D66" s="595"/>
      <c r="E66" s="595"/>
      <c r="F66" s="595"/>
      <c r="G66" s="595"/>
      <c r="H66" s="595"/>
      <c r="I66" s="595"/>
      <c r="J66" s="595"/>
      <c r="K66" s="595"/>
      <c r="L66" s="595"/>
      <c r="M66" s="1566"/>
      <c r="N66" s="1566"/>
      <c r="O66" s="1567"/>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2589</v>
      </c>
      <c r="B70" s="528" t="s">
        <v>2555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2785</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2786</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2803</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2790" customWidth="1"/>
    <col min="2" max="2" width="19.21875" style="2896" customWidth="1"/>
    <col min="3" max="4" width="12" style="2714"/>
    <col min="5" max="5" width="14.6640625" style="2714" customWidth="1"/>
    <col min="6" max="8" width="12" style="2714"/>
    <col min="9" max="9" width="12.21875" style="2714" bestFit="1" customWidth="1"/>
    <col min="10" max="10" width="12" style="2714"/>
    <col min="11" max="11" width="8.109375" style="2782" customWidth="1"/>
    <col min="12" max="12" width="12" style="2714"/>
    <col min="13" max="13" width="8.44140625" style="2714" customWidth="1"/>
    <col min="14" max="14" width="9.77734375" style="2714" customWidth="1"/>
    <col min="15" max="25" width="12" style="2714"/>
    <col min="26" max="26" width="9.33203125" style="2790" customWidth="1"/>
    <col min="27" max="32" width="9.33203125" style="1372" customWidth="1"/>
    <col min="33" max="36" width="9.33203125" style="2790" customWidth="1"/>
    <col min="37" max="38" width="9.33203125" style="2714" customWidth="1"/>
    <col min="39" max="16384" width="12" style="2714"/>
  </cols>
  <sheetData>
    <row r="1" spans="1:36" ht="31.2">
      <c r="A1" s="240" t="s">
        <v>2804</v>
      </c>
      <c r="B1" s="241"/>
      <c r="C1" s="245" t="s">
        <v>2805</v>
      </c>
      <c r="D1" s="388">
        <f>SUM(D29:D30,D33:D39)</f>
        <v>0</v>
      </c>
      <c r="E1" s="2711"/>
      <c r="F1" s="2711"/>
      <c r="G1" s="2711"/>
      <c r="H1" s="2711"/>
      <c r="I1" s="2711"/>
      <c r="J1" s="2711"/>
      <c r="K1" s="1370"/>
      <c r="L1" s="2712" t="s">
        <v>2806</v>
      </c>
      <c r="M1" s="1080">
        <f>SUMPRODUCT((区片价!B5:B9=I2)*(区片价!C3:F3=E2)*(区片价!C5:F9))</f>
        <v>0</v>
      </c>
      <c r="N1" s="1083">
        <f>SUMPRODUCT((因素修正幅度!B5:B9=I2)*(因素修正幅度!C3:F3=E2)*(因素修正幅度!C5:F9))</f>
        <v>0</v>
      </c>
      <c r="O1" s="2713"/>
      <c r="P1" s="2713"/>
      <c r="Q1" s="1370"/>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6">
      <c r="A2" s="245" t="s">
        <v>2812</v>
      </c>
      <c r="B2" s="248" t="e">
        <f>C26</f>
        <v>#DIV/0!</v>
      </c>
      <c r="C2" s="2715" t="s">
        <v>2813</v>
      </c>
      <c r="D2" s="2716" t="s">
        <v>2814</v>
      </c>
      <c r="E2" s="2717"/>
      <c r="F2" s="2716" t="s">
        <v>2815</v>
      </c>
      <c r="G2" s="2718">
        <f>IF(E2="商业",项目基本情况!B37,IF(E2="办公",项目基本情况!C37,IF(E2="住宅",项目基本情况!D37,项目基本情况!E37)))</f>
        <v>0</v>
      </c>
      <c r="H2" s="2716" t="s">
        <v>2816</v>
      </c>
      <c r="I2" s="2718">
        <f>IF(E2="商业",项目基本情况!B38,IF(E2="办公",项目基本情况!C38,IF(E2="住宅",项目基本情况!D38,项目基本情况!E38)))</f>
        <v>0</v>
      </c>
      <c r="J2" s="2719"/>
      <c r="K2" s="1370"/>
      <c r="L2" s="2720" t="s">
        <v>2817</v>
      </c>
      <c r="M2" s="1081">
        <f>SUMPRODUCT((区片价!B10:B28=I2)*(区片价!C3:F3=E2)*(区片价!C10:F28))</f>
        <v>0</v>
      </c>
      <c r="N2" s="1083">
        <f>SUMPRODUCT((因素修正幅度!B10:B28=I2)*(因素修正幅度!C3:F3=E2)*(因素修正幅度!C10:F28))</f>
        <v>0</v>
      </c>
      <c r="O2" s="1370"/>
      <c r="P2" s="1370"/>
      <c r="Q2" s="1370"/>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2818</v>
      </c>
      <c r="B3" s="248" t="e">
        <f>ROUND(B2*10000/D1,0)</f>
        <v>#DIV/0!</v>
      </c>
      <c r="C3" s="2715" t="s">
        <v>2819</v>
      </c>
      <c r="D3" s="2716" t="s">
        <v>2820</v>
      </c>
      <c r="E3" s="2721"/>
      <c r="F3" s="2722" t="s">
        <v>2821</v>
      </c>
      <c r="G3" s="913" t="e">
        <f>IF(F3="宗地容积率",'数据-汇总表'!I4,IF(F3="估价对象容积率",'数据-汇总表'!I6,'数据-汇总表'!I7))</f>
        <v>#DIV/0!</v>
      </c>
      <c r="H3" s="198" t="s">
        <v>2822</v>
      </c>
      <c r="I3" s="944"/>
      <c r="J3" s="2719" t="s">
        <v>2823</v>
      </c>
      <c r="K3" s="1370"/>
      <c r="L3" s="2720" t="s">
        <v>2824</v>
      </c>
      <c r="M3" s="1081">
        <f>SUMPRODUCT((区片价!B29:B48=I2)*(区片价!C3:F3=E2)*(区片价!C29:F48))</f>
        <v>0</v>
      </c>
      <c r="N3" s="1083">
        <f>SUMPRODUCT((因素修正幅度!B29:B48=I2)*(因素修正幅度!C3:F3=E2)*(因素修正幅度!C29:F48))</f>
        <v>0</v>
      </c>
      <c r="O3" s="1370"/>
      <c r="P3" s="1370"/>
      <c r="Q3" s="1370"/>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64"/>
      <c r="B4" s="3265"/>
      <c r="C4" s="3265"/>
      <c r="D4" s="3266"/>
      <c r="E4" s="3266"/>
      <c r="F4" s="3266"/>
      <c r="G4" s="3266"/>
      <c r="H4" s="3266"/>
      <c r="I4" s="3266"/>
      <c r="J4" s="3267"/>
      <c r="K4" s="1370"/>
      <c r="L4" s="2720" t="s">
        <v>2825</v>
      </c>
      <c r="M4" s="1081">
        <f>SUMPRODUCT((区片价!B49:B75=I2)*(区片价!C3:F3=E2)*(区片价!C49:F75))</f>
        <v>0</v>
      </c>
      <c r="N4" s="1083">
        <f>SUMPRODUCT((因素修正幅度!B49:B75=I2)*(因素修正幅度!C3:F3=E2)*(因素修正幅度!C49:F75))</f>
        <v>0</v>
      </c>
      <c r="O4" s="1370"/>
      <c r="P4" s="1370"/>
      <c r="Q4" s="1370"/>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6" thickBot="1">
      <c r="A5" s="2723" t="s">
        <v>807</v>
      </c>
      <c r="B5" s="2724" t="s">
        <v>2826</v>
      </c>
      <c r="C5" s="914" t="e">
        <f>ROUND(IF(E2="商业",IF(F16="增加",C6*C7+C16,C6*C7-C16),IF(E2="住宅",IF(F16="增加",C6*C12+C16,C6*C12-C16),IF(F16="增加",C6+C16,C6-C16))),0)</f>
        <v>#DIV/0!</v>
      </c>
      <c r="D5" s="1785">
        <f>ROUND(IF(E2="商业",IF(F16="增加",C6+C16,C6-C16)),0)</f>
        <v>0</v>
      </c>
      <c r="E5" s="2725"/>
      <c r="F5" s="2725"/>
      <c r="G5" s="2726"/>
      <c r="H5" s="2726"/>
      <c r="I5" s="2726"/>
      <c r="J5" s="2727"/>
      <c r="K5" s="2728"/>
      <c r="L5" s="2720" t="s">
        <v>2827</v>
      </c>
      <c r="M5" s="1081">
        <f>SUMPRODUCT((区片价!B76:B109=I2)*(区片价!C3:F3=E2)*(区片价!C76:F109))</f>
        <v>0</v>
      </c>
      <c r="N5" s="1083">
        <f>SUMPRODUCT((因素修正幅度!B76:B109=I2)*(因素修正幅度!C3:F3=E2)*(因素修正幅度!C76:F109))</f>
        <v>0</v>
      </c>
      <c r="O5" s="1370"/>
      <c r="P5" s="1370"/>
      <c r="Q5" s="1370"/>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6" thickBot="1">
      <c r="A6" s="2733" t="s">
        <v>2828</v>
      </c>
      <c r="B6" s="2734" t="s">
        <v>2829</v>
      </c>
      <c r="C6" s="915">
        <f>SUMIF(L1:L12,G2,M1:M12)</f>
        <v>0</v>
      </c>
      <c r="D6" s="2735" t="s">
        <v>2830</v>
      </c>
      <c r="E6" s="2736"/>
      <c r="F6" s="2736"/>
      <c r="G6" s="2737"/>
      <c r="H6" s="2737"/>
      <c r="I6" s="2737"/>
      <c r="J6" s="2738"/>
      <c r="K6" s="1840"/>
      <c r="L6" s="2720" t="s">
        <v>2831</v>
      </c>
      <c r="M6" s="1081">
        <f>SUMPRODUCT((区片价!B110:B157=I2)*(区片价!C3:F3=E2)*(区片价!C110:F157))</f>
        <v>0</v>
      </c>
      <c r="N6" s="1083">
        <f>SUMPRODUCT((因素修正幅度!B110:B157=I2)*(因素修正幅度!C3:F3=E2)*(因素修正幅度!C110:F157))</f>
        <v>0</v>
      </c>
      <c r="O6" s="1370"/>
      <c r="P6" s="1370"/>
      <c r="Q6" s="1370"/>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68" t="str">
        <f>IF(E2="商业",IF(C8="不临58条商业街","",2),"")</f>
        <v/>
      </c>
      <c r="B7" s="2739" t="s">
        <v>2832</v>
      </c>
      <c r="C7" s="916" t="e">
        <f>IF(C8="不临58条商业街",1,ROUND(1+(1.6*E8+1.2*E9+0.8*E10+0.4*E11)*C9,4))</f>
        <v>#DIV/0!</v>
      </c>
      <c r="D7" s="2740" t="s">
        <v>2833</v>
      </c>
      <c r="E7" s="945"/>
      <c r="F7" s="2741"/>
      <c r="G7" s="2742"/>
      <c r="H7" s="2742"/>
      <c r="I7" s="2742"/>
      <c r="J7" s="2743"/>
      <c r="K7" s="1840"/>
      <c r="L7" s="2720" t="s">
        <v>2834</v>
      </c>
      <c r="M7" s="1081">
        <f>SUMPRODUCT((区片价!B158:B205=I2)*(区片价!C3:F3=E2)*(区片价!C158:F205))</f>
        <v>0</v>
      </c>
      <c r="N7" s="1083">
        <f>SUMPRODUCT((因素修正幅度!B158:B205=I2)*(因素修正幅度!C3:F3=E2)*(因素修正幅度!C158:F205))</f>
        <v>0</v>
      </c>
      <c r="O7" s="1370"/>
      <c r="P7" s="1370"/>
      <c r="Q7" s="1370"/>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2835</v>
      </c>
      <c r="X7" s="1602">
        <f>G2</f>
        <v>0</v>
      </c>
      <c r="Y7" s="1602" t="s">
        <v>2836</v>
      </c>
      <c r="Z7" s="1603" t="e">
        <f>G3</f>
        <v>#DIV/0!</v>
      </c>
      <c r="AA7" s="1604"/>
      <c r="AB7" s="1604"/>
      <c r="AC7" s="1605"/>
      <c r="AD7" s="1606"/>
      <c r="AE7" s="1606"/>
      <c r="AF7" s="1606"/>
      <c r="AG7" s="1606"/>
      <c r="AH7" s="1606"/>
      <c r="AI7" s="1606"/>
      <c r="AJ7" s="1607"/>
    </row>
    <row r="8" spans="1:36" ht="15">
      <c r="A8" s="3269"/>
      <c r="B8" s="198" t="s">
        <v>2837</v>
      </c>
      <c r="C8" s="2744"/>
      <c r="D8" s="917" t="s">
        <v>139</v>
      </c>
      <c r="E8" s="918" t="e">
        <f>ROUND(C11/E7,4)</f>
        <v>#DIV/0!</v>
      </c>
      <c r="F8" s="2745" t="s">
        <v>2838</v>
      </c>
      <c r="G8" s="2746"/>
      <c r="H8" s="2746"/>
      <c r="I8" s="2746"/>
      <c r="J8" s="2747"/>
      <c r="K8" s="1370"/>
      <c r="L8" s="2720" t="s">
        <v>2839</v>
      </c>
      <c r="M8" s="1081">
        <f>SUMPRODUCT((区片价!B206:B244=I2)*(区片价!C3:F3=E2)*(区片价!C206:F244))</f>
        <v>0</v>
      </c>
      <c r="N8" s="1083">
        <f>SUMPRODUCT((因素修正幅度!B206:B244=I2)*(因素修正幅度!C3:F3=E2)*(因素修正幅度!C206:F244))</f>
        <v>0</v>
      </c>
      <c r="O8" s="1370"/>
      <c r="P8" s="1370"/>
      <c r="Q8" s="1370"/>
      <c r="R8" s="1600">
        <v>7</v>
      </c>
      <c r="S8" s="1601"/>
      <c r="T8" s="1600" t="e">
        <f t="shared" si="0"/>
        <v>#DIV/0!</v>
      </c>
      <c r="U8" s="1601"/>
      <c r="V8" s="1600" t="e">
        <f t="shared" si="1"/>
        <v>#DIV/0!</v>
      </c>
      <c r="W8" s="3261" t="s">
        <v>2840</v>
      </c>
      <c r="X8" s="3262"/>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69"/>
      <c r="B9" s="198" t="s">
        <v>2853</v>
      </c>
      <c r="C9" s="919">
        <f>SUMIF(修正!C59:C119,C8,修正!E59:E119)</f>
        <v>0</v>
      </c>
      <c r="D9" s="200" t="s">
        <v>140</v>
      </c>
      <c r="E9" s="200" t="e">
        <f>ROUND(C11/E7,4)</f>
        <v>#DIV/0!</v>
      </c>
      <c r="F9" s="2745" t="s">
        <v>2854</v>
      </c>
      <c r="G9" s="2746"/>
      <c r="H9" s="2746"/>
      <c r="I9" s="2746"/>
      <c r="J9" s="2747"/>
      <c r="K9" s="1370"/>
      <c r="L9" s="2720" t="s">
        <v>2855</v>
      </c>
      <c r="M9" s="1081">
        <f>SUMPRODUCT((区片价!B245:B289=I2)*(区片价!C3:F3=E2)*(区片价!C245:F289))</f>
        <v>0</v>
      </c>
      <c r="N9" s="1083">
        <f>SUMPRODUCT((因素修正幅度!B245:B289=I2)*(因素修正幅度!C3:F3=E2)*(因素修正幅度!C245:F289))</f>
        <v>0</v>
      </c>
      <c r="O9" s="1370"/>
      <c r="P9" s="1370"/>
      <c r="Q9" s="1370"/>
      <c r="R9" s="1600">
        <v>8</v>
      </c>
      <c r="S9" s="1601"/>
      <c r="T9" s="1600" t="e">
        <f t="shared" si="0"/>
        <v>#DIV/0!</v>
      </c>
      <c r="U9" s="1601"/>
      <c r="V9" s="1600" t="e">
        <f t="shared" si="1"/>
        <v>#DIV/0!</v>
      </c>
      <c r="W9" s="3263"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9"/>
      <c r="B10" s="198" t="s">
        <v>2858</v>
      </c>
      <c r="C10" s="200">
        <f>SUMIF(修正!C59:C119,C8,修正!F59:F119)</f>
        <v>0</v>
      </c>
      <c r="D10" s="200" t="s">
        <v>141</v>
      </c>
      <c r="E10" s="200" t="e">
        <f>ROUND(C11/E7,4)</f>
        <v>#DIV/0!</v>
      </c>
      <c r="F10" s="2745" t="s">
        <v>2859</v>
      </c>
      <c r="G10" s="2746"/>
      <c r="H10" s="2746"/>
      <c r="I10" s="2746"/>
      <c r="J10" s="2747"/>
      <c r="K10" s="1370"/>
      <c r="L10" s="2720" t="s">
        <v>2860</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t="e">
        <f t="shared" si="0"/>
        <v>#DIV/0!</v>
      </c>
      <c r="U10" s="1601"/>
      <c r="V10" s="1600" t="e">
        <f t="shared" si="1"/>
        <v>#DIV/0!</v>
      </c>
      <c r="W10" s="326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69"/>
      <c r="B11" s="2748" t="s">
        <v>2861</v>
      </c>
      <c r="C11" s="920">
        <f>C10/4</f>
        <v>0</v>
      </c>
      <c r="D11" s="920" t="s">
        <v>142</v>
      </c>
      <c r="E11" s="920" t="e">
        <f>ROUND(C11/E7,4)</f>
        <v>#DIV/0!</v>
      </c>
      <c r="F11" s="2749" t="s">
        <v>2862</v>
      </c>
      <c r="G11" s="2750"/>
      <c r="H11" s="2750"/>
      <c r="I11" s="2750"/>
      <c r="J11" s="2751"/>
      <c r="K11" s="1370"/>
      <c r="L11" s="2720" t="s">
        <v>2863</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t="e">
        <f t="shared" si="0"/>
        <v>#DIV/0!</v>
      </c>
      <c r="U11" s="1601"/>
      <c r="V11" s="1600" t="e">
        <f t="shared" si="1"/>
        <v>#DIV/0!</v>
      </c>
      <c r="W11" s="3263" t="s">
        <v>2864</v>
      </c>
      <c r="X11" s="1612" t="s">
        <v>2865</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68" t="s">
        <v>2866</v>
      </c>
      <c r="B12" s="2752" t="s">
        <v>2867</v>
      </c>
      <c r="C12" s="916">
        <f>ROUND(C15*D15*E15*F15*G15*H15*I15*J15,4)</f>
        <v>1</v>
      </c>
      <c r="D12" s="2753" t="s">
        <v>2868</v>
      </c>
      <c r="E12" s="2754"/>
      <c r="F12" s="2754"/>
      <c r="G12" s="2755"/>
      <c r="H12" s="2755"/>
      <c r="I12" s="2755"/>
      <c r="J12" s="2756"/>
      <c r="K12" s="1370"/>
      <c r="L12" s="2757" t="s">
        <v>2869</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t="e">
        <f t="shared" si="0"/>
        <v>#DIV/0!</v>
      </c>
      <c r="U12" s="1601"/>
      <c r="V12" s="1600" t="e">
        <f t="shared" si="1"/>
        <v>#DIV/0!</v>
      </c>
      <c r="W12" s="3263"/>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0"/>
      <c r="B13" s="2758" t="s">
        <v>2871</v>
      </c>
      <c r="C13" s="2759" t="s">
        <v>2872</v>
      </c>
      <c r="D13" s="1806" t="s">
        <v>2873</v>
      </c>
      <c r="E13" s="1806" t="s">
        <v>2874</v>
      </c>
      <c r="F13" s="30" t="s">
        <v>2875</v>
      </c>
      <c r="G13" s="2760" t="s">
        <v>2876</v>
      </c>
      <c r="H13" s="2760" t="s">
        <v>2876</v>
      </c>
      <c r="I13" s="2760" t="s">
        <v>2876</v>
      </c>
      <c r="J13" s="2761" t="s">
        <v>2876</v>
      </c>
      <c r="K13" s="1370"/>
      <c r="L13" s="1370"/>
      <c r="M13" s="1370"/>
      <c r="N13" s="1370"/>
      <c r="O13" s="1370"/>
      <c r="P13" s="1370"/>
      <c r="Q13" s="1370"/>
      <c r="R13" s="1600">
        <v>12</v>
      </c>
      <c r="S13" s="1601"/>
      <c r="T13" s="1600" t="e">
        <f t="shared" si="0"/>
        <v>#DIV/0!</v>
      </c>
      <c r="U13" s="1601"/>
      <c r="V13" s="1600" t="e">
        <f t="shared" si="1"/>
        <v>#DIV/0!</v>
      </c>
      <c r="W13" s="3263"/>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0"/>
      <c r="B14" s="2762"/>
      <c r="C14" s="2763"/>
      <c r="D14" s="2764"/>
      <c r="E14" s="2764"/>
      <c r="F14" s="2765"/>
      <c r="G14" s="2766" t="s">
        <v>2877</v>
      </c>
      <c r="H14" s="2767"/>
      <c r="I14" s="2768"/>
      <c r="J14" s="2769"/>
      <c r="K14" s="1370"/>
      <c r="L14" s="1370"/>
      <c r="M14" s="1370"/>
      <c r="N14" s="1370"/>
      <c r="O14" s="1370"/>
      <c r="P14" s="1370"/>
      <c r="Q14" s="1370"/>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71"/>
      <c r="B15" s="2770" t="s">
        <v>2878</v>
      </c>
      <c r="C15" s="229">
        <f>IF(C14="有",1.1,1)</f>
        <v>1</v>
      </c>
      <c r="D15" s="229">
        <f>IF(D14="有",1.1,1)</f>
        <v>1</v>
      </c>
      <c r="E15" s="229">
        <f>IF(E14="有",1.1,1)</f>
        <v>1</v>
      </c>
      <c r="F15" s="229">
        <f>IF(F14="500米范围内",1.2,IF(F14="500-1000米",1.1,1))</f>
        <v>1</v>
      </c>
      <c r="G15" s="946">
        <v>1</v>
      </c>
      <c r="H15" s="946">
        <v>1</v>
      </c>
      <c r="I15" s="946">
        <v>1</v>
      </c>
      <c r="J15" s="947">
        <v>1</v>
      </c>
      <c r="K15" s="1370"/>
      <c r="L15" s="2771" t="s">
        <v>2814</v>
      </c>
      <c r="M15" s="917" t="s">
        <v>2879</v>
      </c>
      <c r="N15" s="917" t="s">
        <v>2880</v>
      </c>
      <c r="O15" s="917" t="s">
        <v>2881</v>
      </c>
      <c r="P15" s="2772" t="s">
        <v>2882</v>
      </c>
      <c r="Q15" s="1370"/>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8" t="s">
        <v>2883</v>
      </c>
      <c r="B16" s="2739" t="s">
        <v>2884</v>
      </c>
      <c r="C16" s="1799" t="e">
        <f>ROUND(SUM(G17:J17)/C17,0)</f>
        <v>#DIV/0!</v>
      </c>
      <c r="D16" s="2773" t="s">
        <v>2885</v>
      </c>
      <c r="E16" s="2774"/>
      <c r="F16" s="2775"/>
      <c r="G16" s="2776"/>
      <c r="H16" s="2776"/>
      <c r="I16" s="2776"/>
      <c r="J16" s="2777"/>
      <c r="K16" s="1370"/>
      <c r="L16" s="2778" t="s">
        <v>2886</v>
      </c>
      <c r="M16" s="919">
        <v>0.25</v>
      </c>
      <c r="N16" s="919">
        <v>0.2</v>
      </c>
      <c r="O16" s="919">
        <v>0.15</v>
      </c>
      <c r="P16" s="1369">
        <v>0.1</v>
      </c>
      <c r="Q16" s="1370"/>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24.6" thickBot="1">
      <c r="A17" s="3269"/>
      <c r="B17" s="2779" t="s">
        <v>2887</v>
      </c>
      <c r="C17" s="921">
        <f>SUMPRODUCT((修正!A2:A5=E2)*(修正!B1:M1=G2)*(修正!B2:M5))</f>
        <v>0</v>
      </c>
      <c r="D17" s="2780"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1" t="s">
        <v>2890</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2"/>
      <c r="AF17" s="2782"/>
      <c r="AG17" s="2714"/>
      <c r="AH17" s="2714"/>
      <c r="AI17" s="2714"/>
      <c r="AJ17" s="2714"/>
    </row>
    <row r="18" spans="1:37" s="2732" customFormat="1" ht="15" thickBot="1">
      <c r="A18" s="2783" t="s">
        <v>808</v>
      </c>
      <c r="B18" s="2784" t="s">
        <v>2891</v>
      </c>
      <c r="C18" s="923">
        <f>SUMIF(修正!C18:C39,E3,修正!E18:E39)</f>
        <v>0</v>
      </c>
      <c r="D18" s="2785"/>
      <c r="E18" s="2786"/>
      <c r="F18" s="2787"/>
      <c r="G18" s="2788"/>
      <c r="H18" s="2788"/>
      <c r="I18" s="2788"/>
      <c r="J18" s="2789"/>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32" customFormat="1" ht="29.4" thickBot="1">
      <c r="A19" s="2783" t="s">
        <v>809</v>
      </c>
      <c r="B19" s="2784" t="s">
        <v>2892</v>
      </c>
      <c r="C19" s="924" t="e">
        <f>ROUND(IF(H19="按公示增长率计算",SUMPRODUCT((地价!A3:A22=YEAR(G19)&amp;"-"&amp;ROUNDUP(MONTH(G19)/3,0))*(地价!X2:AB2=E2)*(地价!X3:AB22)),IF(H19="地价指数",M20/M19,(1+I19)^O19)),4)</f>
        <v>#DIV/0!</v>
      </c>
      <c r="D19" s="2791" t="s">
        <v>2893</v>
      </c>
      <c r="E19" s="925">
        <v>41640</v>
      </c>
      <c r="F19" s="2791" t="s">
        <v>2894</v>
      </c>
      <c r="G19" s="926">
        <f>'数据-取费表'!B2</f>
        <v>43342</v>
      </c>
      <c r="H19" s="2792" t="s">
        <v>2895</v>
      </c>
      <c r="I19" s="927" t="str">
        <f>IF(H19="季度增幅（自定义）",SUMIF(N21:N24,E2,O21:O24),"")</f>
        <v/>
      </c>
      <c r="J19" s="2789"/>
      <c r="K19" s="1377"/>
      <c r="L19" s="2793" t="s">
        <v>2896</v>
      </c>
      <c r="M19" s="1732">
        <f>ROUND(SUMIF(地价!B2:F2,E2,地价!B22:F22),0)</f>
        <v>0</v>
      </c>
      <c r="N19" s="2794" t="s">
        <v>2897</v>
      </c>
      <c r="O19" s="928">
        <f>ROUNDDOWN(DATEDIF(E19,G19,"M")/3,0)</f>
        <v>18</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32" customFormat="1" ht="29.4" thickBot="1">
      <c r="A20" s="2798" t="s">
        <v>810</v>
      </c>
      <c r="B20" s="2799" t="s">
        <v>2898</v>
      </c>
      <c r="C20" s="929" t="e">
        <f>ROUND(POWER(1+G20,J20-I20)*(POWER(1+G20,I20)-1)/(POWER(1+G20,J20)-1),4)</f>
        <v>#DIV/0!</v>
      </c>
      <c r="D20" s="2800" t="s">
        <v>2899</v>
      </c>
      <c r="E20" s="1766">
        <f ca="1">存贷款利率!D4/100</f>
        <v>4.3499999999999997E-2</v>
      </c>
      <c r="F20" s="2800" t="s">
        <v>2890</v>
      </c>
      <c r="G20" s="934">
        <f>SUMIF(M15:P15,E2,M17:P17)</f>
        <v>0</v>
      </c>
      <c r="H20" s="2800" t="s">
        <v>2900</v>
      </c>
      <c r="I20" s="935" t="e">
        <f>SUMIF('数据-取费表'!C6:C15,E2,'数据-取费表'!F6:F15)/COUNTIF('数据-取费表'!C6:C15,E2)</f>
        <v>#DIV/0!</v>
      </c>
      <c r="J20" s="936">
        <f>IF(E2="住宅",70,IF(E2="商业",40,50))</f>
        <v>50</v>
      </c>
      <c r="K20" s="1377"/>
      <c r="L20" s="2801" t="s">
        <v>2901</v>
      </c>
      <c r="M20" s="1733">
        <f>ROUND(SUMPRODUCT((地价!A4:A22=YEAR(G19)&amp;"-"&amp;ROUNDUP(MONTH(G19)/3,0))*(地价!B2:F2=E2)*(地价!B4:F22)),0)</f>
        <v>0</v>
      </c>
      <c r="N20" s="2802" t="s">
        <v>2902</v>
      </c>
      <c r="O20" s="2803" t="s">
        <v>2903</v>
      </c>
      <c r="P20" s="2804" t="s">
        <v>2904</v>
      </c>
      <c r="R20" s="1376"/>
      <c r="S20" s="1376"/>
      <c r="T20" s="1371"/>
      <c r="U20" s="1371"/>
      <c r="V20" s="1371"/>
      <c r="W20" s="1370"/>
      <c r="X20" s="1370"/>
      <c r="Y20" s="1370"/>
      <c r="Z20" s="1377"/>
      <c r="AA20" s="1378"/>
      <c r="AB20" s="1378"/>
      <c r="AC20" s="1378"/>
      <c r="AD20" s="1378"/>
      <c r="AE20" s="1378"/>
      <c r="AF20" s="1378"/>
    </row>
    <row r="21" spans="1:37" s="2732" customFormat="1" ht="14.4">
      <c r="A21" s="2805" t="s">
        <v>811</v>
      </c>
      <c r="B21" s="2806" t="s">
        <v>2905</v>
      </c>
      <c r="C21" s="937" t="e">
        <f>IF(B21="容积率修正",IF(G3&lt;=10,D22,J22),C23)</f>
        <v>#DIV/0!</v>
      </c>
      <c r="D21" s="2807"/>
      <c r="E21" s="2807"/>
      <c r="F21" s="2807"/>
      <c r="G21" s="2807"/>
      <c r="H21" s="2807"/>
      <c r="I21" s="2807"/>
      <c r="J21" s="2808"/>
      <c r="K21" s="1377"/>
      <c r="N21" s="2809" t="s">
        <v>2906</v>
      </c>
      <c r="O21" s="1560"/>
      <c r="P21" s="1561">
        <f>SUMPRODUCT((地价!A3:A22=YEAR(G19)&amp;"-"&amp;ROUNDUP(MONTH(G19)/3,0))*(地价!AD2:AH2=N21)*(地价!AD3:AH22))</f>
        <v>0</v>
      </c>
      <c r="R21" s="1376"/>
      <c r="S21" s="1376"/>
      <c r="T21" s="1371"/>
      <c r="U21" s="1371"/>
      <c r="V21" s="1371"/>
      <c r="W21" s="1370"/>
      <c r="X21" s="1370"/>
      <c r="Y21" s="1370"/>
      <c r="Z21" s="1377"/>
      <c r="AA21" s="1378"/>
      <c r="AB21" s="1378"/>
      <c r="AC21" s="1378"/>
      <c r="AD21" s="1378"/>
      <c r="AE21" s="1378"/>
      <c r="AF21" s="1378"/>
    </row>
    <row r="22" spans="1:37" s="2732" customFormat="1" ht="14.4">
      <c r="A22" s="2658" t="s">
        <v>2907</v>
      </c>
      <c r="B22" s="2810" t="s">
        <v>2908</v>
      </c>
      <c r="C22" s="1808" t="s">
        <v>2909</v>
      </c>
      <c r="D22" s="1808" t="e">
        <f>IF(E22=G22,F22,IF(G3&lt;=10,ROUND(F22+(H22-F22)*(G3-E22)/(G22-E22),4),"——"))</f>
        <v>#DIV/0!</v>
      </c>
      <c r="E22" s="913"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8" t="e">
        <f>IF(G3&gt;10,D113,"——")</f>
        <v>#DIV/0!</v>
      </c>
      <c r="K22" s="1377"/>
      <c r="N22" s="2809" t="s">
        <v>2910</v>
      </c>
      <c r="O22" s="1560"/>
      <c r="P22" s="1561">
        <f>SUMPRODUCT((地价!A3:A22=YEAR(G19)&amp;"-"&amp;ROUNDUP(MONTH(G19)/3,0))*(地价!AD2:AH2=N22)*(地价!AD3:AH22))</f>
        <v>0</v>
      </c>
      <c r="R22" s="1376"/>
      <c r="S22" s="1376"/>
      <c r="T22" s="1371"/>
      <c r="U22" s="1371"/>
      <c r="V22" s="1371"/>
      <c r="W22" s="1370"/>
      <c r="X22" s="1370"/>
      <c r="Y22" s="1370"/>
      <c r="Z22" s="1377"/>
      <c r="AA22" s="1378"/>
      <c r="AB22" s="1378"/>
      <c r="AC22" s="1378"/>
      <c r="AD22" s="1378"/>
      <c r="AE22" s="1378"/>
      <c r="AF22" s="1378"/>
    </row>
    <row r="23" spans="1:37" ht="29.4" thickBot="1">
      <c r="A23" s="2658" t="s">
        <v>2911</v>
      </c>
      <c r="B23" s="2811" t="s">
        <v>2912</v>
      </c>
      <c r="C23" s="1013" t="e">
        <f>ROUND(IF(G3&gt;1,IF(I3&lt;7,SUMPRODUCT((B93:B98=I3)*(C92:N92=G2)*(C93:N98)),SUMIF(C92:N92,G2,C100:N100)),IF(I3&lt;7,SUMPRODUCT((B102:B107=I3)*(C92:N92=G2)*(C102:N107)),SUMIF(C92:N92,G2,C109:N109))),4)</f>
        <v>#DIV/0!</v>
      </c>
      <c r="D23" s="2767"/>
      <c r="E23" s="2767"/>
      <c r="F23" s="2812"/>
      <c r="G23" s="2813"/>
      <c r="H23" s="2814"/>
      <c r="I23" s="2815"/>
      <c r="J23" s="2816"/>
      <c r="K23" s="1370"/>
      <c r="N23" s="2809" t="s">
        <v>2913</v>
      </c>
      <c r="O23" s="1560"/>
      <c r="P23" s="1561">
        <f>SUMPRODUCT((地价!A3:A22=YEAR(G19)&amp;"-"&amp;ROUNDUP(MONTH(G19)/3,0))*(地价!AD2:AH2=N23)*(地价!AD3:AH22))</f>
        <v>0</v>
      </c>
      <c r="R23" s="1376"/>
      <c r="S23" s="1376"/>
      <c r="T23" s="1371"/>
      <c r="U23" s="1371"/>
      <c r="V23" s="1371"/>
      <c r="W23" s="1370"/>
      <c r="X23" s="1370"/>
      <c r="Y23" s="1370"/>
      <c r="Z23" s="1377"/>
      <c r="AA23" s="1378"/>
      <c r="AB23" s="1378"/>
      <c r="AC23" s="1378"/>
      <c r="AD23" s="1378"/>
      <c r="AK23" s="2790"/>
    </row>
    <row r="24" spans="1:37" s="2732" customFormat="1" ht="15" thickBot="1">
      <c r="A24" s="2798" t="s">
        <v>812</v>
      </c>
      <c r="B24" s="2784" t="s">
        <v>2914</v>
      </c>
      <c r="C24" s="924">
        <f>SUMIF(A45:A88,E2,B45:B88)</f>
        <v>0</v>
      </c>
      <c r="D24" s="2787"/>
      <c r="E24" s="2817"/>
      <c r="F24" s="2817"/>
      <c r="G24" s="2817"/>
      <c r="H24" s="2817"/>
      <c r="I24" s="2817"/>
      <c r="J24" s="2818"/>
      <c r="K24" s="1377"/>
      <c r="N24" s="2819" t="s">
        <v>2915</v>
      </c>
      <c r="O24" s="1562"/>
      <c r="P24" s="1563">
        <f>SUMPRODUCT((地价!A3:A22=YEAR(G19)&amp;"-"&amp;ROUNDUP(MONTH(G19)/3,0))*(地价!AD2:AH2=N24)*(地价!AD3:AH22))</f>
        <v>0</v>
      </c>
      <c r="R24" s="1376"/>
      <c r="S24" s="1376"/>
      <c r="T24" s="1371"/>
      <c r="U24" s="1371"/>
      <c r="V24" s="1371"/>
      <c r="W24" s="1370"/>
      <c r="X24" s="1370"/>
      <c r="Y24" s="1370"/>
      <c r="Z24" s="1377"/>
      <c r="AA24" s="1378"/>
      <c r="AB24" s="1378"/>
      <c r="AC24" s="1378"/>
      <c r="AD24" s="1378"/>
      <c r="AE24" s="1378"/>
      <c r="AF24" s="1378"/>
    </row>
    <row r="25" spans="1:37" ht="15" thickBot="1">
      <c r="A25" s="2798" t="s">
        <v>813</v>
      </c>
      <c r="B25" s="2820" t="s">
        <v>2916</v>
      </c>
      <c r="C25" s="930"/>
      <c r="D25" s="2742"/>
      <c r="E25" s="2742"/>
      <c r="F25" s="2821"/>
      <c r="G25" s="2742"/>
      <c r="H25" s="2742"/>
      <c r="I25" s="2742"/>
      <c r="J25" s="2743"/>
      <c r="K25" s="1370"/>
      <c r="N25" s="2822" t="s">
        <v>2917</v>
      </c>
      <c r="O25" s="1564"/>
      <c r="P25" s="1563">
        <f>SUMPRODUCT((地价!A3:A22=YEAR(G19)&amp;"-"&amp;ROUNDUP(MONTH(G19)/3,0))*(地价!AD2:AH2=N25)*(地价!AD3:AH22))</f>
        <v>0</v>
      </c>
      <c r="R25" s="1376"/>
      <c r="S25" s="1376"/>
      <c r="T25" s="1371"/>
      <c r="U25" s="1371"/>
      <c r="V25" s="1371"/>
      <c r="W25" s="1370"/>
      <c r="X25" s="1370"/>
      <c r="Y25" s="1370"/>
      <c r="Z25" s="1377"/>
      <c r="AA25" s="1378"/>
      <c r="AB25" s="1378"/>
      <c r="AC25" s="1378"/>
      <c r="AD25" s="1378"/>
    </row>
    <row r="26" spans="1:37" ht="14.4">
      <c r="A26" s="2823"/>
      <c r="B26" s="2810" t="s">
        <v>2918</v>
      </c>
      <c r="C26" s="206" t="e">
        <f>E29+SUM(E33:E39)</f>
        <v>#DIV/0!</v>
      </c>
      <c r="D26" s="2824"/>
      <c r="E26" s="2767"/>
      <c r="F26" s="2825"/>
      <c r="G26" s="2767"/>
      <c r="H26" s="2767"/>
      <c r="I26" s="2767"/>
      <c r="J26" s="2826"/>
      <c r="K26" s="1370"/>
      <c r="R26" s="1376"/>
      <c r="S26" s="1376"/>
      <c r="T26" s="1371"/>
      <c r="U26" s="1371"/>
      <c r="V26" s="1371"/>
      <c r="W26" s="1370"/>
      <c r="X26" s="1370"/>
      <c r="Y26" s="1370"/>
      <c r="Z26" s="1377"/>
      <c r="AA26" s="1378"/>
      <c r="AB26" s="1378"/>
      <c r="AC26" s="1378"/>
      <c r="AD26" s="1378"/>
    </row>
    <row r="27" spans="1:37" ht="15" thickBot="1">
      <c r="A27" s="2823"/>
      <c r="B27" s="2827" t="s">
        <v>2919</v>
      </c>
      <c r="C27" s="931" t="e">
        <f>E30+SUM(I33:I39)</f>
        <v>#DIV/0!</v>
      </c>
      <c r="D27" s="2828"/>
      <c r="E27" s="2829"/>
      <c r="F27" s="2830"/>
      <c r="G27" s="2829"/>
      <c r="H27" s="2829"/>
      <c r="I27" s="2829"/>
      <c r="J27" s="2831"/>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2"/>
      <c r="B28" s="2833" t="s">
        <v>2920</v>
      </c>
      <c r="C28" s="2834" t="s">
        <v>2921</v>
      </c>
      <c r="D28" s="2834" t="s">
        <v>2922</v>
      </c>
      <c r="E28" s="2835" t="s">
        <v>2923</v>
      </c>
      <c r="F28" s="2836"/>
      <c r="G28" s="2755"/>
      <c r="H28" s="2755"/>
      <c r="I28" s="2755"/>
      <c r="J28" s="2756"/>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7"/>
      <c r="B29" s="2838" t="s">
        <v>2924</v>
      </c>
      <c r="C29" s="206" t="e">
        <f>ROUND(C5*C18*C19*C20*C21*C24,0)</f>
        <v>#DIV/0!</v>
      </c>
      <c r="D29" s="2839"/>
      <c r="E29" s="942" t="e">
        <f>ROUND(C29*D29/10000,0)</f>
        <v>#DIV/0!</v>
      </c>
      <c r="F29" s="2840" t="s">
        <v>2925</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4"/>
      <c r="AH29" s="2714"/>
      <c r="AI29" s="2714"/>
      <c r="AJ29" s="2714"/>
    </row>
    <row r="30" spans="1:37" ht="25.8" thickBot="1">
      <c r="A30" s="2843"/>
      <c r="B30" s="2844" t="s">
        <v>2926</v>
      </c>
      <c r="C30" s="229" t="e">
        <f>ROUND(IF(E2="工业",C29*M39,C29*M38),0)</f>
        <v>#DIV/0!</v>
      </c>
      <c r="D30" s="2845"/>
      <c r="E30" s="942" t="e">
        <f>ROUND(C30*D30/10000,0)</f>
        <v>#DIV/0!</v>
      </c>
      <c r="F30" s="2846" t="s">
        <v>2927</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4"/>
      <c r="AH30" s="2714"/>
      <c r="AI30" s="2714"/>
      <c r="AJ30" s="2714"/>
    </row>
    <row r="31" spans="1:37" ht="13.8">
      <c r="A31" s="2849"/>
      <c r="B31" s="2850" t="s">
        <v>2928</v>
      </c>
      <c r="C31" s="2851" t="s">
        <v>2929</v>
      </c>
      <c r="D31" s="2755"/>
      <c r="E31" s="2851"/>
      <c r="F31" s="2851"/>
      <c r="G31" s="2753" t="s">
        <v>2930</v>
      </c>
      <c r="H31" s="2755"/>
      <c r="I31" s="2852"/>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4"/>
      <c r="AH31" s="2714"/>
      <c r="AI31" s="2714"/>
      <c r="AJ31" s="2714"/>
    </row>
    <row r="32" spans="1:37" ht="36">
      <c r="A32" s="2837"/>
      <c r="B32" s="2853"/>
      <c r="C32" s="501" t="s">
        <v>2921</v>
      </c>
      <c r="D32" s="498" t="s">
        <v>2922</v>
      </c>
      <c r="E32" s="498" t="s">
        <v>2923</v>
      </c>
      <c r="F32" s="388" t="s">
        <v>2931</v>
      </c>
      <c r="G32" s="2854" t="s">
        <v>2921</v>
      </c>
      <c r="H32" s="2854" t="s">
        <v>2922</v>
      </c>
      <c r="I32" s="2854"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4"/>
      <c r="AH32" s="2714"/>
      <c r="AI32" s="2714"/>
      <c r="AJ32" s="2714"/>
    </row>
    <row r="33" spans="1:37" ht="36" customHeight="1">
      <c r="A33" s="3278" t="s">
        <v>2932</v>
      </c>
      <c r="B33" s="2855" t="s">
        <v>2933</v>
      </c>
      <c r="C33" s="206" t="e">
        <f>ROUND(D5*C19*C20*C24*F33,0)</f>
        <v>#DIV/0!</v>
      </c>
      <c r="D33" s="2839"/>
      <c r="E33" s="200" t="e">
        <f>ROUND(C33*D33/10000,0)</f>
        <v>#DIV/0!</v>
      </c>
      <c r="F33" s="200">
        <f>SUMIF(修正!A45:A56,G2,修正!B45:B56)</f>
        <v>0</v>
      </c>
      <c r="G33" s="200" t="e">
        <f t="shared" ref="G33:G39"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79"/>
      <c r="B34" s="2759" t="s">
        <v>2934</v>
      </c>
      <c r="C34" s="206" t="e">
        <f>ROUND(D5*C19*C20*C24*F34,0)</f>
        <v>#DIV/0!</v>
      </c>
      <c r="D34" s="283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9"/>
      <c r="B35" s="2759" t="s">
        <v>2935</v>
      </c>
      <c r="C35" s="206" t="e">
        <f>ROUND(D5*C19*C20*C24*F35,0)</f>
        <v>#DIV/0!</v>
      </c>
      <c r="D35" s="2839"/>
      <c r="E35" s="200" t="e">
        <f t="shared" si="7"/>
        <v>#DIV/0!</v>
      </c>
      <c r="F35" s="200">
        <f>SUMIF(修正!A45:A56,G2,修正!D45:D56)</f>
        <v>0</v>
      </c>
      <c r="G35" s="200" t="e">
        <f t="shared" si="6"/>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8" thickBot="1">
      <c r="A36" s="3280"/>
      <c r="B36" s="2759" t="s">
        <v>2936</v>
      </c>
      <c r="C36" s="206" t="e">
        <f>ROUND(D5*C19*C20*C24*F36,0)</f>
        <v>#DIV/0!</v>
      </c>
      <c r="D36" s="2839"/>
      <c r="E36" s="200" t="e">
        <f t="shared" si="7"/>
        <v>#DIV/0!</v>
      </c>
      <c r="F36" s="200">
        <f>SUMIF(修正!A45:A56,G2,修正!E45:E56)</f>
        <v>0</v>
      </c>
      <c r="G36" s="200" t="e">
        <f t="shared" si="6"/>
        <v>#DIV/0!</v>
      </c>
      <c r="H36" s="200">
        <f t="shared" si="8"/>
        <v>0</v>
      </c>
      <c r="I36" s="200" t="e">
        <f t="shared" si="9"/>
        <v>#DIV/0!</v>
      </c>
      <c r="J36" s="2856"/>
      <c r="K36" s="1370"/>
      <c r="L36" s="2713"/>
      <c r="M36" s="2713"/>
      <c r="N36" s="1370"/>
      <c r="O36" s="1370"/>
      <c r="P36" s="1370"/>
      <c r="Q36" s="1370"/>
      <c r="R36" s="1370"/>
      <c r="S36" s="1370"/>
      <c r="T36" s="1370"/>
      <c r="U36" s="1370"/>
      <c r="V36" s="1370"/>
      <c r="W36" s="1370"/>
      <c r="X36" s="1370"/>
      <c r="Y36" s="1370"/>
      <c r="Z36" s="1371"/>
    </row>
    <row r="37" spans="1:37">
      <c r="A37" s="2857"/>
      <c r="B37" s="2759" t="s">
        <v>2937</v>
      </c>
      <c r="C37" s="200" t="e">
        <f>ROUND(C5*C19*C20*C24*F37,0)</f>
        <v>#DIV/0!</v>
      </c>
      <c r="D37" s="2839"/>
      <c r="E37" s="200" t="e">
        <f t="shared" si="7"/>
        <v>#DIV/0!</v>
      </c>
      <c r="F37" s="206">
        <f>SUMIF(修正!A45:A56,G2,修正!F45:F56)</f>
        <v>0</v>
      </c>
      <c r="G37" s="200" t="e">
        <f t="shared" si="6"/>
        <v>#DIV/0!</v>
      </c>
      <c r="H37" s="200">
        <f t="shared" si="8"/>
        <v>0</v>
      </c>
      <c r="I37" s="200" t="e">
        <f t="shared" si="9"/>
        <v>#DIV/0!</v>
      </c>
      <c r="J37" s="2856"/>
      <c r="K37" s="1370"/>
      <c r="L37" s="2858" t="s">
        <v>2938</v>
      </c>
      <c r="M37" s="2859"/>
      <c r="N37" s="1370"/>
      <c r="O37" s="1370"/>
      <c r="P37" s="1370"/>
      <c r="Q37" s="1370"/>
      <c r="R37" s="1370"/>
      <c r="S37" s="1370"/>
      <c r="T37" s="1370"/>
      <c r="U37" s="1370"/>
      <c r="V37" s="1370"/>
      <c r="W37" s="1370"/>
      <c r="X37" s="1370"/>
      <c r="Y37" s="1370"/>
      <c r="Z37" s="1371"/>
    </row>
    <row r="38" spans="1:37">
      <c r="A38" s="2857"/>
      <c r="B38" s="2759" t="s">
        <v>2939</v>
      </c>
      <c r="C38" s="200" t="e">
        <f>ROUND(C5*C19*C20*C24*F38,0)</f>
        <v>#DIV/0!</v>
      </c>
      <c r="D38" s="2839"/>
      <c r="E38" s="200" t="e">
        <f t="shared" si="7"/>
        <v>#DIV/0!</v>
      </c>
      <c r="F38" s="206">
        <f>SUMIF(修正!A45:A56,G2,修正!G45:G56)</f>
        <v>0</v>
      </c>
      <c r="G38" s="200" t="e">
        <f t="shared" si="6"/>
        <v>#DIV/0!</v>
      </c>
      <c r="H38" s="200">
        <f t="shared" si="8"/>
        <v>0</v>
      </c>
      <c r="I38" s="200" t="e">
        <f t="shared" si="9"/>
        <v>#DIV/0!</v>
      </c>
      <c r="J38" s="2856"/>
      <c r="K38" s="1370"/>
      <c r="L38" s="1885" t="s">
        <v>2940</v>
      </c>
      <c r="M38" s="2860">
        <v>0.25</v>
      </c>
      <c r="N38" s="1370"/>
      <c r="O38" s="1370"/>
      <c r="P38" s="1370"/>
      <c r="Q38" s="1370"/>
      <c r="R38" s="1370"/>
      <c r="S38" s="1370"/>
      <c r="T38" s="1370"/>
      <c r="U38" s="1370"/>
      <c r="V38" s="1370"/>
      <c r="W38" s="1370"/>
      <c r="X38" s="1370"/>
      <c r="Y38" s="1370"/>
      <c r="Z38" s="1371"/>
    </row>
    <row r="39" spans="1:37" ht="13.8" thickBot="1">
      <c r="A39" s="2843"/>
      <c r="B39" s="2861" t="s">
        <v>2941</v>
      </c>
      <c r="C39" s="229" t="e">
        <f>ROUND(C5*C19*C20*C24*F39,0)</f>
        <v>#DIV/0!</v>
      </c>
      <c r="D39" s="2845"/>
      <c r="E39" s="229" t="e">
        <f t="shared" si="7"/>
        <v>#DIV/0!</v>
      </c>
      <c r="F39" s="932">
        <f>SUMIF(修正!A45:A56,G2,修正!H45:H56)</f>
        <v>0</v>
      </c>
      <c r="G39" s="229" t="e">
        <f t="shared" si="6"/>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5"/>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 thickBot="1">
      <c r="A45" s="2866" t="s">
        <v>2942</v>
      </c>
      <c r="B45" s="2867"/>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4.4">
      <c r="A46" s="2868" t="s">
        <v>2943</v>
      </c>
      <c r="B46" s="2869">
        <f>1+E48</f>
        <v>1</v>
      </c>
      <c r="C46" s="2870"/>
      <c r="D46" s="811"/>
      <c r="E46" s="812"/>
      <c r="F46" s="2871"/>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5.2">
      <c r="A47" s="2872" t="s">
        <v>2944</v>
      </c>
      <c r="B47" s="1807" t="s">
        <v>2945</v>
      </c>
      <c r="C47" s="1807" t="s">
        <v>2946</v>
      </c>
      <c r="D47" s="1807" t="s">
        <v>2947</v>
      </c>
      <c r="E47" s="816" t="s">
        <v>2948</v>
      </c>
      <c r="F47" s="2873" t="s">
        <v>2949</v>
      </c>
      <c r="G47" s="1807" t="s">
        <v>754</v>
      </c>
      <c r="H47" s="2874" t="s">
        <v>2950</v>
      </c>
      <c r="I47" s="1807" t="s">
        <v>2951</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2.8">
      <c r="A48" s="2872" t="s">
        <v>2952</v>
      </c>
      <c r="B48" s="2875" t="str">
        <f>估价对象房地状况!C4</f>
        <v>估价对象位于XX商圈，周边商业氛围成熟，人流量大，商业繁华度好</v>
      </c>
      <c r="C48" s="2764"/>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2" t="s">
        <v>2953</v>
      </c>
      <c r="B49" s="2876" t="str">
        <f>估价对象房地状况!C18</f>
        <v>估价对象周边道路状况、公共交通通达情况、停车便捷程度，综合评价交通便捷度较好</v>
      </c>
      <c r="C49" s="2764"/>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2954</v>
      </c>
      <c r="B50" s="2876">
        <f>估价对象房地状况!C19</f>
        <v>0</v>
      </c>
      <c r="C50" s="2764"/>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2" t="s">
        <v>2955</v>
      </c>
      <c r="B51" s="2877" t="s">
        <v>2956</v>
      </c>
      <c r="C51" s="2764"/>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2957</v>
      </c>
      <c r="B52" s="2876">
        <f>估价对象房地状况!C24</f>
        <v>0</v>
      </c>
      <c r="C52" s="2764"/>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2" t="s">
        <v>2958</v>
      </c>
      <c r="B53" s="2878" t="s">
        <v>2959</v>
      </c>
      <c r="C53" s="2764"/>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9" t="s">
        <v>2960</v>
      </c>
      <c r="B54" s="1723" t="str">
        <f>估价对象房地状况!C21</f>
        <v>估价对象所在区域公共配套设施齐备情况</v>
      </c>
      <c r="C54" s="2764"/>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9" t="s">
        <v>2961</v>
      </c>
      <c r="B55" s="2876" t="str">
        <f>估价对象房地状况!C22</f>
        <v>估价对象所在区域基础设施水平</v>
      </c>
      <c r="C55" s="2764"/>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0" t="s">
        <v>2962</v>
      </c>
      <c r="B56" s="2881" t="str">
        <f>估价对象房地状况!C20</f>
        <v>区域自然环境：；人文环境；综合评价环境状况一般</v>
      </c>
      <c r="C56" s="2764"/>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8" t="s">
        <v>2963</v>
      </c>
      <c r="B57" s="2869">
        <f>1+E59</f>
        <v>1</v>
      </c>
      <c r="C57" s="811"/>
      <c r="D57" s="811"/>
      <c r="E57" s="812"/>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2" t="s">
        <v>2944</v>
      </c>
      <c r="B58" s="1807"/>
      <c r="C58" s="1807" t="s">
        <v>2946</v>
      </c>
      <c r="D58" s="1807" t="s">
        <v>2947</v>
      </c>
      <c r="E58" s="816" t="s">
        <v>2948</v>
      </c>
      <c r="F58" s="2873" t="s">
        <v>2964</v>
      </c>
      <c r="G58" s="1807" t="s">
        <v>754</v>
      </c>
      <c r="H58" s="2874" t="s">
        <v>2950</v>
      </c>
      <c r="I58" s="1807" t="s">
        <v>2951</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52.8">
      <c r="A59" s="2872" t="s">
        <v>2965</v>
      </c>
      <c r="B59" s="2875" t="str">
        <f>估价对象房地状况!C17</f>
        <v>估价对象位于XX商圈，周边办公楼项目较多，入驻率高，办公集聚程度较好</v>
      </c>
      <c r="C59" s="2764"/>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2" t="s">
        <v>2953</v>
      </c>
      <c r="B60" s="2876" t="str">
        <f>估价对象房地状况!C18</f>
        <v>估价对象周边道路状况、公共交通通达情况、停车便捷程度，综合评价交通便捷度较好</v>
      </c>
      <c r="C60" s="2764"/>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2954</v>
      </c>
      <c r="B61" s="2876">
        <f>估价对象房地状况!C19</f>
        <v>0</v>
      </c>
      <c r="C61" s="2764"/>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2" t="s">
        <v>2955</v>
      </c>
      <c r="B62" s="2877" t="s">
        <v>2956</v>
      </c>
      <c r="C62" s="2764"/>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2957</v>
      </c>
      <c r="B63" s="2876">
        <f>估价对象房地状况!C24</f>
        <v>0</v>
      </c>
      <c r="C63" s="2764"/>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2" t="s">
        <v>2958</v>
      </c>
      <c r="B64" s="2878" t="s">
        <v>2959</v>
      </c>
      <c r="C64" s="2764"/>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2" t="s">
        <v>2960</v>
      </c>
      <c r="B65" s="1723" t="str">
        <f>估价对象房地状况!C21</f>
        <v>估价对象所在区域公共配套设施齐备情况</v>
      </c>
      <c r="C65" s="2764"/>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2" t="s">
        <v>2961</v>
      </c>
      <c r="B66" s="1723" t="str">
        <f>估价对象房地状况!C22</f>
        <v>估价对象所在区域基础设施水平</v>
      </c>
      <c r="C66" s="2764"/>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0" t="s">
        <v>2962</v>
      </c>
      <c r="B67" s="2882" t="str">
        <f>估价对象房地状况!C20</f>
        <v>区域自然环境：；人文环境；综合评价环境状况一般</v>
      </c>
      <c r="C67" s="2764"/>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8" t="s">
        <v>2966</v>
      </c>
      <c r="B68" s="2869">
        <f>1+E70</f>
        <v>1</v>
      </c>
      <c r="C68" s="811"/>
      <c r="D68" s="811"/>
      <c r="E68" s="812"/>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2" t="s">
        <v>2944</v>
      </c>
      <c r="B69" s="1807"/>
      <c r="C69" s="1807" t="s">
        <v>2946</v>
      </c>
      <c r="D69" s="1807" t="s">
        <v>2947</v>
      </c>
      <c r="E69" s="816" t="s">
        <v>2948</v>
      </c>
      <c r="F69" s="2873" t="s">
        <v>2964</v>
      </c>
      <c r="G69" s="1807" t="s">
        <v>754</v>
      </c>
      <c r="H69" s="2874" t="s">
        <v>2950</v>
      </c>
      <c r="I69" s="1807" t="s">
        <v>2951</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66">
      <c r="A70" s="2872" t="s">
        <v>2967</v>
      </c>
      <c r="B70" s="2875" t="str">
        <f>估价对象房地状况!C15</f>
        <v>估价对象周边居住用地比例、居住小区规模和社区发展完善程度，综合评价居住社区成熟度一般</v>
      </c>
      <c r="C70" s="2764"/>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2" t="s">
        <v>2953</v>
      </c>
      <c r="B71" s="2876" t="str">
        <f>估价对象房地状况!C18</f>
        <v>估价对象周边道路状况、公共交通通达情况、停车便捷程度，综合评价交通便捷度较好</v>
      </c>
      <c r="C71" s="2764"/>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2954</v>
      </c>
      <c r="B72" s="2876">
        <f>估价对象房地状况!C19</f>
        <v>0</v>
      </c>
      <c r="C72" s="2764"/>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2" t="s">
        <v>2968</v>
      </c>
      <c r="B73" s="2876">
        <f>估价对象房地状况!C24</f>
        <v>0</v>
      </c>
      <c r="C73" s="2764"/>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2" t="s">
        <v>2960</v>
      </c>
      <c r="B74" s="1723" t="str">
        <f>估价对象房地状况!C21</f>
        <v>估价对象所在区域公共配套设施齐备情况</v>
      </c>
      <c r="C74" s="2764"/>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2" t="s">
        <v>2961</v>
      </c>
      <c r="B75" s="1723" t="str">
        <f>估价对象房地状况!C22</f>
        <v>估价对象所在区域基础设施水平</v>
      </c>
      <c r="C75" s="2764"/>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36">
      <c r="A76" s="2872" t="s">
        <v>2958</v>
      </c>
      <c r="B76" s="2878" t="s">
        <v>2959</v>
      </c>
      <c r="C76" s="2764"/>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9.6">
      <c r="A77" s="2872" t="s">
        <v>2962</v>
      </c>
      <c r="B77" s="2875" t="str">
        <f>估价对象房地状况!C20</f>
        <v>区域自然环境：；人文环境；综合评价环境状况一般</v>
      </c>
      <c r="C77" s="2764"/>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4"/>
      <c r="AA77" s="2790"/>
      <c r="AG77" s="1372"/>
      <c r="AK77" s="2790"/>
    </row>
    <row r="78" spans="1:37" ht="36.6" thickBot="1">
      <c r="A78" s="2880" t="s">
        <v>2969</v>
      </c>
      <c r="B78" s="2884"/>
      <c r="C78" s="2764"/>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4"/>
      <c r="AA78" s="2790"/>
      <c r="AG78" s="1372"/>
      <c r="AK78" s="2790"/>
    </row>
    <row r="79" spans="1:37" ht="14.4">
      <c r="A79" s="2868" t="s">
        <v>2970</v>
      </c>
      <c r="B79" s="2869">
        <f>1+E81</f>
        <v>1</v>
      </c>
      <c r="C79" s="811"/>
      <c r="D79" s="811"/>
      <c r="E79" s="812"/>
      <c r="F79" s="2871"/>
      <c r="G79" s="6"/>
      <c r="H79" s="6"/>
      <c r="I79" s="6"/>
      <c r="J79" s="7"/>
      <c r="K79" s="7"/>
      <c r="L79" s="7"/>
      <c r="M79" s="7"/>
      <c r="N79" s="7"/>
      <c r="Z79" s="2714"/>
      <c r="AA79" s="2790"/>
      <c r="AG79" s="1372"/>
      <c r="AK79" s="2790"/>
    </row>
    <row r="80" spans="1:37" ht="25.2">
      <c r="A80" s="2872" t="s">
        <v>2944</v>
      </c>
      <c r="B80" s="1807"/>
      <c r="C80" s="1807" t="s">
        <v>2946</v>
      </c>
      <c r="D80" s="1807" t="s">
        <v>2947</v>
      </c>
      <c r="E80" s="816" t="s">
        <v>2948</v>
      </c>
      <c r="F80" s="2873" t="s">
        <v>2964</v>
      </c>
      <c r="G80" s="1807" t="s">
        <v>754</v>
      </c>
      <c r="H80" s="2874" t="s">
        <v>2950</v>
      </c>
      <c r="I80" s="1807" t="s">
        <v>2951</v>
      </c>
      <c r="J80" s="603" t="s">
        <v>2598</v>
      </c>
      <c r="K80" s="603" t="s">
        <v>2599</v>
      </c>
      <c r="L80" s="603" t="s">
        <v>2600</v>
      </c>
      <c r="M80" s="603" t="s">
        <v>2601</v>
      </c>
      <c r="N80" s="603" t="s">
        <v>2602</v>
      </c>
      <c r="Z80" s="2714"/>
      <c r="AA80" s="2790"/>
      <c r="AG80" s="1372"/>
      <c r="AK80" s="2790"/>
    </row>
    <row r="81" spans="1:37" ht="39.6">
      <c r="A81" s="2872" t="s">
        <v>2971</v>
      </c>
      <c r="B81" s="2876" t="str">
        <f>估价对象房地状况!G15</f>
        <v>估价对象位于XX开发区，园区建设成熟度XX，产业集聚程度XX</v>
      </c>
      <c r="C81" s="2764"/>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4"/>
      <c r="AA81" s="2790"/>
      <c r="AG81" s="1372"/>
      <c r="AK81" s="2790"/>
    </row>
    <row r="82" spans="1:37" ht="66">
      <c r="A82" s="2872" t="s">
        <v>2953</v>
      </c>
      <c r="B82" s="2876" t="str">
        <f>估价对象房地状况!G16</f>
        <v>估价对象周边道路状况、公共交通通达情况、停车便捷程度，综合评价交通便捷度较好</v>
      </c>
      <c r="C82" s="2764"/>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4"/>
      <c r="AA82" s="2790"/>
      <c r="AG82" s="1372"/>
      <c r="AK82" s="2790"/>
    </row>
    <row r="83" spans="1:37" ht="24">
      <c r="A83" s="2872" t="s">
        <v>2954</v>
      </c>
      <c r="B83" s="2876">
        <f>估价对象房地状况!G17</f>
        <v>0</v>
      </c>
      <c r="C83" s="2764"/>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4"/>
      <c r="AA83" s="2790"/>
      <c r="AG83" s="1372"/>
      <c r="AK83" s="2790"/>
    </row>
    <row r="84" spans="1:37" ht="13.8">
      <c r="A84" s="2872" t="s">
        <v>2968</v>
      </c>
      <c r="B84" s="2876">
        <f>估价对象房地状况!G22</f>
        <v>0</v>
      </c>
      <c r="C84" s="2764"/>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4"/>
      <c r="AA84" s="2790"/>
      <c r="AG84" s="1372"/>
      <c r="AK84" s="2790"/>
    </row>
    <row r="85" spans="1:37" ht="26.4">
      <c r="A85" s="2872" t="s">
        <v>2960</v>
      </c>
      <c r="B85" s="1723" t="str">
        <f>估价对象房地状况!G19</f>
        <v>估价对象所在区域公共配套设施齐备情况</v>
      </c>
      <c r="C85" s="2764"/>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4"/>
      <c r="AA85" s="2790"/>
      <c r="AG85" s="1372"/>
      <c r="AK85" s="2790"/>
    </row>
    <row r="86" spans="1:37" ht="26.4">
      <c r="A86" s="2872" t="s">
        <v>2961</v>
      </c>
      <c r="B86" s="1723" t="str">
        <f>估价对象房地状况!G20</f>
        <v>估价对象所在区域基础设施水平</v>
      </c>
      <c r="C86" s="2764"/>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4"/>
      <c r="AA86" s="2790"/>
      <c r="AG86" s="1372"/>
      <c r="AK86" s="2790"/>
    </row>
    <row r="87" spans="1:37" ht="36">
      <c r="A87" s="2872" t="s">
        <v>2958</v>
      </c>
      <c r="B87" s="2878" t="s">
        <v>2972</v>
      </c>
      <c r="C87" s="2764"/>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4"/>
      <c r="AA87" s="2790"/>
      <c r="AG87" s="1372"/>
      <c r="AK87" s="2790"/>
    </row>
    <row r="88" spans="1:37" ht="53.4" thickBot="1">
      <c r="A88" s="2880" t="s">
        <v>2973</v>
      </c>
      <c r="B88" s="2885" t="str">
        <f>估价对象房地状况!G18</f>
        <v>该园区内是否有污染型企业，绿化情况，卫生条件，整体环境状况判断</v>
      </c>
      <c r="C88" s="2764"/>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4"/>
      <c r="AA88" s="2790"/>
      <c r="AG88" s="1372"/>
      <c r="AK88" s="2790"/>
    </row>
    <row r="90" spans="1:37">
      <c r="A90" s="3272" t="s">
        <v>2974</v>
      </c>
      <c r="B90" s="3272"/>
      <c r="C90" s="3272"/>
      <c r="D90" s="3272"/>
      <c r="E90" s="3272"/>
      <c r="F90" s="3272"/>
      <c r="G90" s="3272"/>
      <c r="H90" s="3272"/>
      <c r="I90" s="3272"/>
      <c r="J90" s="3272"/>
      <c r="K90" s="2886"/>
      <c r="L90" s="2886"/>
      <c r="M90" s="2886"/>
      <c r="N90" s="2886"/>
    </row>
    <row r="91" spans="1:37">
      <c r="A91" s="3274" t="s">
        <v>2975</v>
      </c>
      <c r="B91" s="3274" t="s">
        <v>2976</v>
      </c>
      <c r="C91" s="2840" t="s">
        <v>2977</v>
      </c>
      <c r="D91" s="2841"/>
      <c r="E91" s="2841"/>
      <c r="F91" s="2841"/>
      <c r="G91" s="2841"/>
      <c r="H91" s="2841"/>
      <c r="I91" s="2841"/>
      <c r="J91" s="2887"/>
      <c r="K91" s="2888"/>
      <c r="L91" s="2888"/>
      <c r="M91" s="2888"/>
      <c r="N91" s="2888"/>
    </row>
    <row r="92" spans="1:37">
      <c r="A92" s="3274"/>
      <c r="B92" s="327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75" t="s">
        <v>2978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6"/>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5" t="s">
        <v>2979</v>
      </c>
      <c r="B101" s="2893" t="s">
        <v>2980</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76"/>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76"/>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76"/>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76"/>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76"/>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76"/>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76"/>
      <c r="B108" s="3129" t="s">
        <v>2981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7"/>
      <c r="B109" s="3130"/>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73" t="s">
        <v>2982</v>
      </c>
      <c r="B110" s="3273"/>
      <c r="C110" s="3273"/>
      <c r="D110" s="3273"/>
      <c r="E110" s="3273"/>
      <c r="F110" s="3273"/>
      <c r="G110" s="3273"/>
      <c r="H110" s="3273"/>
      <c r="I110" s="3273"/>
      <c r="J110" s="3273"/>
      <c r="K110" s="2895"/>
      <c r="L110" s="2895"/>
      <c r="M110" s="2895"/>
      <c r="N110" s="2895"/>
    </row>
    <row r="112" spans="1:14" ht="13.8" thickBot="1"/>
    <row r="113" spans="1:13" ht="25.8" thickBot="1">
      <c r="A113" s="900" t="s">
        <v>2983</v>
      </c>
      <c r="B113" s="1287" t="e">
        <f>G3</f>
        <v>#DIV/0!</v>
      </c>
      <c r="C113" s="901" t="s">
        <v>2984</v>
      </c>
      <c r="D113" s="902" t="e">
        <f>SUMPRODUCT((A115:A118=F113)*(B114:M114=H113)*B115:M118)</f>
        <v>#DIV/0!</v>
      </c>
      <c r="E113" s="2718" t="s">
        <v>2814</v>
      </c>
      <c r="F113" s="2897">
        <f>E2</f>
        <v>0</v>
      </c>
      <c r="G113" s="2718" t="s">
        <v>2815</v>
      </c>
      <c r="H113" s="2897">
        <f>G2</f>
        <v>0</v>
      </c>
      <c r="I113" s="2718"/>
      <c r="J113" s="2898"/>
      <c r="K113" s="2898"/>
      <c r="L113" s="2898"/>
      <c r="M113" s="2898"/>
    </row>
    <row r="114" spans="1:13">
      <c r="A114" s="905"/>
      <c r="B114" s="2899" t="s">
        <v>2985</v>
      </c>
      <c r="C114" s="2899" t="s">
        <v>2986</v>
      </c>
      <c r="D114" s="2899" t="s">
        <v>2987</v>
      </c>
      <c r="E114" s="2900" t="s">
        <v>2988</v>
      </c>
      <c r="F114" s="2900" t="s">
        <v>2989</v>
      </c>
      <c r="G114" s="2900" t="s">
        <v>2990</v>
      </c>
      <c r="H114" s="2901" t="s">
        <v>2991</v>
      </c>
      <c r="I114" s="2901" t="s">
        <v>2992</v>
      </c>
      <c r="J114" s="2902" t="s">
        <v>2993</v>
      </c>
      <c r="K114" s="2902" t="s">
        <v>2994</v>
      </c>
      <c r="L114" s="2902" t="s">
        <v>2995</v>
      </c>
      <c r="M114" s="2903" t="s">
        <v>2996</v>
      </c>
    </row>
    <row r="115" spans="1:13">
      <c r="A115" s="906" t="s">
        <v>2879</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2880</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2881</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8" thickBot="1">
      <c r="A118" s="714" t="s">
        <v>2882</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281" t="s">
        <v>614</v>
      </c>
      <c r="C61" s="815" t="s">
        <v>615</v>
      </c>
      <c r="D61" s="815" t="s">
        <v>616</v>
      </c>
      <c r="E61" s="892">
        <v>0.5</v>
      </c>
      <c r="F61" s="879">
        <v>80</v>
      </c>
    </row>
    <row r="62" spans="1:8" s="875" customFormat="1" ht="36">
      <c r="A62" s="879">
        <v>2</v>
      </c>
      <c r="B62" s="3281"/>
      <c r="C62" s="815" t="s">
        <v>617</v>
      </c>
      <c r="D62" s="815" t="s">
        <v>618</v>
      </c>
      <c r="E62" s="892">
        <v>0.5</v>
      </c>
      <c r="F62" s="879">
        <v>80</v>
      </c>
    </row>
    <row r="63" spans="1:8" s="875" customFormat="1" ht="48">
      <c r="A63" s="879">
        <v>3</v>
      </c>
      <c r="B63" s="3281"/>
      <c r="C63" s="815" t="s">
        <v>619</v>
      </c>
      <c r="D63" s="815" t="s">
        <v>620</v>
      </c>
      <c r="E63" s="892">
        <v>0.5</v>
      </c>
      <c r="F63" s="879">
        <v>80</v>
      </c>
    </row>
    <row r="64" spans="1:8" s="875" customFormat="1" ht="48">
      <c r="A64" s="879">
        <v>4</v>
      </c>
      <c r="B64" s="3281"/>
      <c r="C64" s="815" t="s">
        <v>621</v>
      </c>
      <c r="D64" s="815" t="s">
        <v>622</v>
      </c>
      <c r="E64" s="892">
        <v>0.4</v>
      </c>
      <c r="F64" s="879">
        <v>60</v>
      </c>
    </row>
    <row r="65" spans="1:6" s="875" customFormat="1" ht="48">
      <c r="A65" s="879">
        <v>5</v>
      </c>
      <c r="B65" s="3281"/>
      <c r="C65" s="815" t="s">
        <v>623</v>
      </c>
      <c r="D65" s="815" t="s">
        <v>624</v>
      </c>
      <c r="E65" s="892">
        <v>0.2</v>
      </c>
      <c r="F65" s="879">
        <v>30</v>
      </c>
    </row>
    <row r="66" spans="1:6" s="875" customFormat="1" ht="48">
      <c r="A66" s="879">
        <v>6</v>
      </c>
      <c r="B66" s="3281"/>
      <c r="C66" s="815" t="s">
        <v>625</v>
      </c>
      <c r="D66" s="815" t="s">
        <v>626</v>
      </c>
      <c r="E66" s="892">
        <v>0.3</v>
      </c>
      <c r="F66" s="879">
        <v>50</v>
      </c>
    </row>
    <row r="67" spans="1:6" s="875" customFormat="1" ht="48">
      <c r="A67" s="879">
        <v>7</v>
      </c>
      <c r="B67" s="3281"/>
      <c r="C67" s="815" t="s">
        <v>627</v>
      </c>
      <c r="D67" s="815" t="s">
        <v>628</v>
      </c>
      <c r="E67" s="892">
        <v>0.2</v>
      </c>
      <c r="F67" s="879">
        <v>30</v>
      </c>
    </row>
    <row r="68" spans="1:6" s="875" customFormat="1" ht="48">
      <c r="A68" s="879">
        <v>8</v>
      </c>
      <c r="B68" s="3281"/>
      <c r="C68" s="815" t="s">
        <v>629</v>
      </c>
      <c r="D68" s="815" t="s">
        <v>630</v>
      </c>
      <c r="E68" s="892">
        <v>0.2</v>
      </c>
      <c r="F68" s="879">
        <v>30</v>
      </c>
    </row>
    <row r="69" spans="1:6" s="875" customFormat="1" ht="48">
      <c r="A69" s="879">
        <v>9</v>
      </c>
      <c r="B69" s="3281"/>
      <c r="C69" s="815" t="s">
        <v>631</v>
      </c>
      <c r="D69" s="815" t="s">
        <v>632</v>
      </c>
      <c r="E69" s="892">
        <v>0.2</v>
      </c>
      <c r="F69" s="879">
        <v>30</v>
      </c>
    </row>
    <row r="70" spans="1:6" s="875" customFormat="1" ht="60">
      <c r="A70" s="879">
        <v>10</v>
      </c>
      <c r="B70" s="3281"/>
      <c r="C70" s="815" t="s">
        <v>633</v>
      </c>
      <c r="D70" s="815" t="s">
        <v>634</v>
      </c>
      <c r="E70" s="892">
        <v>0.2</v>
      </c>
      <c r="F70" s="879">
        <v>30</v>
      </c>
    </row>
    <row r="71" spans="1:6" s="875" customFormat="1" ht="60">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36">
      <c r="A73" s="879">
        <v>13</v>
      </c>
      <c r="B73" s="3281"/>
      <c r="C73" s="815" t="s">
        <v>639</v>
      </c>
      <c r="D73" s="815" t="s">
        <v>640</v>
      </c>
      <c r="E73" s="892">
        <v>0.4</v>
      </c>
      <c r="F73" s="879">
        <v>60</v>
      </c>
    </row>
    <row r="74" spans="1:6" s="875" customFormat="1" ht="36">
      <c r="A74" s="879">
        <v>14</v>
      </c>
      <c r="B74" s="3281"/>
      <c r="C74" s="815" t="s">
        <v>641</v>
      </c>
      <c r="D74" s="815" t="s">
        <v>642</v>
      </c>
      <c r="E74" s="892">
        <v>0.2</v>
      </c>
      <c r="F74" s="879">
        <v>30</v>
      </c>
    </row>
    <row r="75" spans="1:6" s="875" customFormat="1" ht="36">
      <c r="A75" s="879">
        <v>15</v>
      </c>
      <c r="B75" s="3281"/>
      <c r="C75" s="815" t="s">
        <v>643</v>
      </c>
      <c r="D75" s="815" t="s">
        <v>644</v>
      </c>
      <c r="E75" s="892">
        <v>0.2</v>
      </c>
      <c r="F75" s="879">
        <v>30</v>
      </c>
    </row>
    <row r="76" spans="1:6" s="875" customFormat="1" ht="36">
      <c r="A76" s="879">
        <v>16</v>
      </c>
      <c r="B76" s="3281" t="s">
        <v>645</v>
      </c>
      <c r="C76" s="815" t="s">
        <v>646</v>
      </c>
      <c r="D76" s="815" t="s">
        <v>647</v>
      </c>
      <c r="E76" s="892">
        <v>0.5</v>
      </c>
      <c r="F76" s="879">
        <v>80</v>
      </c>
    </row>
    <row r="77" spans="1:6" s="875" customFormat="1" ht="36">
      <c r="A77" s="879">
        <v>17</v>
      </c>
      <c r="B77" s="3281"/>
      <c r="C77" s="815" t="s">
        <v>648</v>
      </c>
      <c r="D77" s="815" t="s">
        <v>649</v>
      </c>
      <c r="E77" s="892">
        <v>0.5</v>
      </c>
      <c r="F77" s="879">
        <v>80</v>
      </c>
    </row>
    <row r="78" spans="1:6" s="875" customFormat="1" ht="36">
      <c r="A78" s="879">
        <v>18</v>
      </c>
      <c r="B78" s="3281"/>
      <c r="C78" s="815" t="s">
        <v>650</v>
      </c>
      <c r="D78" s="815" t="s">
        <v>651</v>
      </c>
      <c r="E78" s="892">
        <v>0.2</v>
      </c>
      <c r="F78" s="879">
        <v>30</v>
      </c>
    </row>
    <row r="79" spans="1:6" s="875" customFormat="1" ht="36">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60">
      <c r="A82" s="879">
        <v>22</v>
      </c>
      <c r="B82" s="3281"/>
      <c r="C82" s="815" t="s">
        <v>658</v>
      </c>
      <c r="D82" s="815" t="s">
        <v>659</v>
      </c>
      <c r="E82" s="892">
        <v>0.2</v>
      </c>
      <c r="F82" s="879">
        <v>30</v>
      </c>
    </row>
    <row r="83" spans="1:6" s="875" customFormat="1" ht="60">
      <c r="A83" s="879">
        <v>23</v>
      </c>
      <c r="B83" s="3281"/>
      <c r="C83" s="815" t="s">
        <v>660</v>
      </c>
      <c r="D83" s="815" t="s">
        <v>661</v>
      </c>
      <c r="E83" s="892">
        <v>0.2</v>
      </c>
      <c r="F83" s="879">
        <v>30</v>
      </c>
    </row>
    <row r="84" spans="1:6" s="875" customFormat="1" ht="48">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36">
      <c r="A89" s="879">
        <v>29</v>
      </c>
      <c r="B89" s="3281"/>
      <c r="C89" s="815" t="s">
        <v>672</v>
      </c>
      <c r="D89" s="815" t="s">
        <v>673</v>
      </c>
      <c r="E89" s="892">
        <v>0.2</v>
      </c>
      <c r="F89" s="879">
        <v>30</v>
      </c>
    </row>
    <row r="90" spans="1:6" s="875" customFormat="1" ht="36">
      <c r="A90" s="879">
        <v>30</v>
      </c>
      <c r="B90" s="3281"/>
      <c r="C90" s="815" t="s">
        <v>674</v>
      </c>
      <c r="D90" s="815" t="s">
        <v>675</v>
      </c>
      <c r="E90" s="892">
        <v>0.2</v>
      </c>
      <c r="F90" s="879">
        <v>30</v>
      </c>
    </row>
    <row r="91" spans="1:6" s="875" customFormat="1" ht="48">
      <c r="A91" s="879">
        <v>31</v>
      </c>
      <c r="B91" s="3281"/>
      <c r="C91" s="815" t="s">
        <v>676</v>
      </c>
      <c r="D91" s="815" t="s">
        <v>677</v>
      </c>
      <c r="E91" s="892">
        <v>0.2</v>
      </c>
      <c r="F91" s="879">
        <v>30</v>
      </c>
    </row>
    <row r="92" spans="1:6" s="875" customFormat="1" ht="36">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60">
      <c r="A94" s="879">
        <v>34</v>
      </c>
      <c r="B94" s="3281"/>
      <c r="C94" s="879" t="s">
        <v>683</v>
      </c>
      <c r="D94" s="815" t="s">
        <v>684</v>
      </c>
      <c r="E94" s="892">
        <v>0.2</v>
      </c>
      <c r="F94" s="879">
        <v>30</v>
      </c>
    </row>
    <row r="95" spans="1:6" s="875" customFormat="1" ht="48">
      <c r="A95" s="879">
        <v>35</v>
      </c>
      <c r="B95" s="3281"/>
      <c r="C95" s="879" t="s">
        <v>685</v>
      </c>
      <c r="D95" s="815" t="s">
        <v>686</v>
      </c>
      <c r="E95" s="892">
        <v>0.2</v>
      </c>
      <c r="F95" s="879">
        <v>30</v>
      </c>
    </row>
    <row r="96" spans="1:6" s="875" customFormat="1" ht="72">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36">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81" t="s">
        <v>708</v>
      </c>
      <c r="C105" s="879" t="s">
        <v>709</v>
      </c>
      <c r="D105" s="815" t="s">
        <v>710</v>
      </c>
      <c r="E105" s="892">
        <v>0.2</v>
      </c>
      <c r="F105" s="879">
        <v>30</v>
      </c>
    </row>
    <row r="106" spans="1:6" s="875" customFormat="1" ht="48">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48">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81" t="s">
        <v>724</v>
      </c>
      <c r="C111" s="879" t="s">
        <v>725</v>
      </c>
      <c r="D111" s="815" t="s">
        <v>726</v>
      </c>
      <c r="E111" s="892">
        <v>0.2</v>
      </c>
      <c r="F111" s="879">
        <v>30</v>
      </c>
    </row>
    <row r="112" spans="1:6" s="875" customFormat="1" ht="36">
      <c r="A112" s="879">
        <v>52</v>
      </c>
      <c r="B112" s="3281"/>
      <c r="C112" s="879" t="s">
        <v>727</v>
      </c>
      <c r="D112" s="815" t="s">
        <v>728</v>
      </c>
      <c r="E112" s="892">
        <v>0.2</v>
      </c>
      <c r="F112" s="879">
        <v>30</v>
      </c>
    </row>
    <row r="113" spans="1:6" s="875" customFormat="1" ht="36">
      <c r="A113" s="879">
        <v>53</v>
      </c>
      <c r="B113" s="3281"/>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8" t="s">
        <v>3005</v>
      </c>
    </row>
    <row r="2" spans="1:5" ht="15.6">
      <c r="A2" s="2904" t="s">
        <v>2997</v>
      </c>
      <c r="B2" s="2905" t="e">
        <f ca="1">SUMIF(B6:B13,"&lt;&gt;#ref!",B6:B13)</f>
        <v>#DIV/0!</v>
      </c>
      <c r="C2" s="2904" t="s">
        <v>2998</v>
      </c>
      <c r="D2" s="2904" t="s">
        <v>2999</v>
      </c>
      <c r="E2" s="2905">
        <f ca="1">SUMIF(E6:E13,"&lt;&gt;#ref!",E6:E13)</f>
        <v>0</v>
      </c>
    </row>
    <row r="3" spans="1:5" ht="15.6">
      <c r="A3" s="2904" t="s">
        <v>3000</v>
      </c>
      <c r="B3" s="2905" t="e">
        <f ca="1">ROUND(B2*10000/E2,0)</f>
        <v>#DIV/0!</v>
      </c>
      <c r="C3" s="2904" t="s">
        <v>3006</v>
      </c>
      <c r="D3" s="2906"/>
      <c r="E3" s="2906"/>
    </row>
    <row r="4" spans="1:5" ht="15.6">
      <c r="A4" s="2907"/>
      <c r="B4" s="2906"/>
      <c r="C4" s="2906"/>
      <c r="D4" s="2906"/>
      <c r="E4" s="2906"/>
    </row>
    <row r="5" spans="1:5" ht="31.2">
      <c r="A5" s="2908" t="s">
        <v>3001</v>
      </c>
      <c r="B5" s="2904" t="s">
        <v>3002</v>
      </c>
      <c r="C5" s="2905"/>
      <c r="D5" s="2906"/>
      <c r="E5" s="2904" t="s">
        <v>3003</v>
      </c>
    </row>
    <row r="6" spans="1:5" ht="15.6">
      <c r="A6" s="2909" t="s">
        <v>3004</v>
      </c>
      <c r="B6" s="2905" t="e">
        <f ca="1">SUMIF(INDIRECT("'"&amp;A6&amp;"'"&amp;"!A:A"),"总价",INDIRECT("'"&amp;A6&amp;"'"&amp;"!B:B"))</f>
        <v>#DIV/0!</v>
      </c>
      <c r="C6" s="2904" t="s">
        <v>2998</v>
      </c>
      <c r="D6" s="2906"/>
      <c r="E6" s="2572">
        <f ca="1">SUMIF(INDIRECT("'"&amp;A6&amp;"'"&amp;"!C:C"),"建筑面积",INDIRECT("'"&amp;A6&amp;"'"&amp;"!D:D"))</f>
        <v>0</v>
      </c>
    </row>
    <row r="7" spans="1:5" ht="15.6">
      <c r="A7" s="2909"/>
      <c r="B7" s="2905" t="e">
        <f ca="1">SUMIF(INDIRECT("'"&amp;A7&amp;"'"&amp;"!A:A"),"总价",INDIRECT("'"&amp;A7&amp;"'"&amp;"!B:B"))</f>
        <v>#REF!</v>
      </c>
      <c r="C7" s="2904" t="s">
        <v>2998</v>
      </c>
      <c r="D7" s="2906"/>
      <c r="E7" s="2572" t="e">
        <f t="shared" ref="E7:E13" ca="1" si="0">SUMIF(INDIRECT("'"&amp;A7&amp;"'"&amp;"!C:C"),"建筑面积",INDIRECT("'"&amp;A7&amp;"'"&amp;"!D:D"))</f>
        <v>#REF!</v>
      </c>
    </row>
    <row r="8" spans="1:5" ht="15.6">
      <c r="A8" s="2909"/>
      <c r="B8" s="2905" t="e">
        <f t="shared" ref="B8:B13" ca="1" si="1">SUMIF(INDIRECT("'"&amp;A8&amp;"'"&amp;"!A:A"),"总价",INDIRECT("'"&amp;A8&amp;"'"&amp;"!B:B"))</f>
        <v>#REF!</v>
      </c>
      <c r="C8" s="2904" t="s">
        <v>2998</v>
      </c>
      <c r="D8" s="2906"/>
      <c r="E8" s="2572" t="e">
        <f t="shared" ca="1" si="0"/>
        <v>#REF!</v>
      </c>
    </row>
    <row r="9" spans="1:5" ht="15.6">
      <c r="A9" s="2909"/>
      <c r="B9" s="2905" t="e">
        <f t="shared" ca="1" si="1"/>
        <v>#REF!</v>
      </c>
      <c r="C9" s="2904" t="s">
        <v>2998</v>
      </c>
      <c r="D9" s="2906"/>
      <c r="E9" s="2572" t="e">
        <f t="shared" ca="1" si="0"/>
        <v>#REF!</v>
      </c>
    </row>
    <row r="10" spans="1:5" ht="15.6">
      <c r="A10" s="2909"/>
      <c r="B10" s="2905" t="e">
        <f t="shared" ca="1" si="1"/>
        <v>#REF!</v>
      </c>
      <c r="C10" s="2904" t="s">
        <v>2998</v>
      </c>
      <c r="D10" s="2906"/>
      <c r="E10" s="2572" t="e">
        <f t="shared" ca="1" si="0"/>
        <v>#REF!</v>
      </c>
    </row>
    <row r="11" spans="1:5" ht="15.6">
      <c r="A11" s="2909"/>
      <c r="B11" s="2905" t="e">
        <f t="shared" ca="1" si="1"/>
        <v>#REF!</v>
      </c>
      <c r="C11" s="2904" t="s">
        <v>2998</v>
      </c>
      <c r="D11" s="2906"/>
      <c r="E11" s="2572" t="e">
        <f t="shared" ca="1" si="0"/>
        <v>#REF!</v>
      </c>
    </row>
    <row r="12" spans="1:5" ht="15.6">
      <c r="A12" s="2909"/>
      <c r="B12" s="2905" t="e">
        <f t="shared" ca="1" si="1"/>
        <v>#REF!</v>
      </c>
      <c r="C12" s="2904" t="s">
        <v>2998</v>
      </c>
      <c r="D12" s="2906"/>
      <c r="E12" s="2572" t="e">
        <f t="shared" ca="1" si="0"/>
        <v>#REF!</v>
      </c>
    </row>
    <row r="13" spans="1:5" ht="15.6">
      <c r="A13" s="2909"/>
      <c r="B13" s="2905" t="e">
        <f t="shared" ca="1" si="1"/>
        <v>#REF!</v>
      </c>
      <c r="C13" s="2904" t="s">
        <v>2998</v>
      </c>
      <c r="D13" s="2906"/>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1621</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7.399999999999999">
      <c r="A3" s="2976" t="str">
        <f>IF(项目基本情况!B9="房地产市场价值","估价结果一览表（市场价值不需“结果表-1”）","估价结果一览表")</f>
        <v>估价结果一览表</v>
      </c>
      <c r="B3" s="2976"/>
      <c r="C3" s="2976"/>
      <c r="D3" s="2976"/>
      <c r="E3" s="2976"/>
    </row>
    <row r="4" spans="1:5" ht="18" thickBot="1">
      <c r="A4" s="1959"/>
      <c r="B4" s="2974" t="s">
        <v>1630</v>
      </c>
      <c r="C4" s="2974"/>
      <c r="D4" s="2974"/>
      <c r="E4" s="1959"/>
    </row>
    <row r="5" spans="1:5" ht="16.2" thickTop="1">
      <c r="A5" s="1957"/>
      <c r="B5" s="2972" t="s">
        <v>1622</v>
      </c>
      <c r="C5" s="1960" t="s">
        <v>1623</v>
      </c>
      <c r="D5" s="1040">
        <f ca="1">结果表!H101</f>
        <v>35435</v>
      </c>
      <c r="E5" s="1957"/>
    </row>
    <row r="6" spans="1:5" ht="15.6">
      <c r="A6" s="1957"/>
      <c r="B6" s="2972"/>
      <c r="C6" s="1960" t="s">
        <v>1624</v>
      </c>
      <c r="D6" s="1040" t="str">
        <f ca="1">NUMBERSTRING(INT(D5*10000),2)&amp;"元整"</f>
        <v>叁亿伍仟肆佰叁拾伍万元整</v>
      </c>
      <c r="E6" s="1957"/>
    </row>
    <row r="7" spans="1:5" ht="15.6">
      <c r="A7" s="1957"/>
      <c r="B7" s="2977"/>
      <c r="C7" s="1961" t="s">
        <v>1625</v>
      </c>
      <c r="D7" s="1041">
        <f ca="1">结果表!H102</f>
        <v>7118</v>
      </c>
      <c r="E7" s="1957"/>
    </row>
    <row r="8" spans="1:5" ht="15.6">
      <c r="A8" s="1957"/>
      <c r="B8" s="2978" t="str">
        <f>结果表!E103</f>
        <v>2.估价师知悉的法定优先受偿款</v>
      </c>
      <c r="C8" s="1962" t="s">
        <v>1626</v>
      </c>
      <c r="D8" s="1041">
        <f>结果表!H103</f>
        <v>0</v>
      </c>
      <c r="E8" s="1957"/>
    </row>
    <row r="9" spans="1:5" ht="15.6">
      <c r="A9" s="1957"/>
      <c r="B9" s="2980"/>
      <c r="C9" s="1960" t="s">
        <v>1624</v>
      </c>
      <c r="D9" s="1040" t="str">
        <f>NUMBERSTRING(INT(D8*10000),2)&amp;"元整"</f>
        <v>零元整</v>
      </c>
      <c r="E9" s="1957"/>
    </row>
    <row r="10" spans="1:5" ht="15.6">
      <c r="A10" s="1957"/>
      <c r="B10" s="1963" t="s">
        <v>1629</v>
      </c>
      <c r="C10" s="1964" t="s">
        <v>1627</v>
      </c>
      <c r="D10" s="1042">
        <f>结果表!H104</f>
        <v>0</v>
      </c>
      <c r="E10" s="1957"/>
    </row>
    <row r="11" spans="1:5" ht="15.6">
      <c r="A11" s="1957"/>
      <c r="B11" s="1963" t="s">
        <v>1631</v>
      </c>
      <c r="C11" s="1964" t="s">
        <v>1632</v>
      </c>
      <c r="D11" s="1042">
        <f>结果表!H105</f>
        <v>0</v>
      </c>
      <c r="E11" s="1957"/>
    </row>
    <row r="12" spans="1:5" ht="15.6">
      <c r="A12" s="1957"/>
      <c r="B12" s="1963" t="s">
        <v>1633</v>
      </c>
      <c r="C12" s="1964" t="s">
        <v>1632</v>
      </c>
      <c r="D12" s="1042">
        <f>结果表!H106</f>
        <v>0</v>
      </c>
      <c r="E12" s="1957"/>
    </row>
    <row r="13" spans="1:5" ht="15.6">
      <c r="A13" s="1957"/>
      <c r="B13" s="2971" t="str">
        <f>结果表!E107</f>
        <v>3.房地产抵押价值</v>
      </c>
      <c r="C13" s="1965" t="s">
        <v>1623</v>
      </c>
      <c r="D13" s="1043">
        <f ca="1">结果表!H107</f>
        <v>35435</v>
      </c>
      <c r="E13" s="1957"/>
    </row>
    <row r="14" spans="1:5" ht="15.6">
      <c r="A14" s="1957"/>
      <c r="B14" s="2972"/>
      <c r="C14" s="1960" t="s">
        <v>1624</v>
      </c>
      <c r="D14" s="1040" t="str">
        <f ca="1">NUMBERSTRING(INT(D13*10000),2)&amp;"元整"</f>
        <v>叁亿伍仟肆佰叁拾伍万元整</v>
      </c>
      <c r="E14" s="1957"/>
    </row>
    <row r="15" spans="1:5" ht="15.6">
      <c r="A15" s="1957"/>
      <c r="B15" s="2977"/>
      <c r="C15" s="1961" t="s">
        <v>1634</v>
      </c>
      <c r="D15" s="1052">
        <f ca="1">结果表!H108</f>
        <v>7118</v>
      </c>
      <c r="E15" s="1957"/>
    </row>
    <row r="16" spans="1:5" ht="15.6">
      <c r="A16" s="1957"/>
      <c r="B16" s="2978" t="str">
        <f>结果表!E109</f>
        <v>——</v>
      </c>
      <c r="C16" s="1965" t="s">
        <v>1635</v>
      </c>
      <c r="D16" s="1966" t="str">
        <f>结果表!H109</f>
        <v>——</v>
      </c>
      <c r="E16" s="1957"/>
    </row>
    <row r="17" spans="1:5" ht="15.6">
      <c r="A17" s="1957"/>
      <c r="B17" s="2979"/>
      <c r="C17" s="1960" t="s">
        <v>1636</v>
      </c>
      <c r="D17" s="1040" t="e">
        <f>NUMBERSTRING(INT(D16*10000),2)&amp;"元整"</f>
        <v>#VALUE!</v>
      </c>
      <c r="E17" s="1957"/>
    </row>
    <row r="18" spans="1:5" ht="15.6">
      <c r="A18" s="1957"/>
      <c r="B18" s="2980"/>
      <c r="C18" s="1961" t="s">
        <v>1625</v>
      </c>
      <c r="D18" s="1052" t="str">
        <f>结果表!H110</f>
        <v>——</v>
      </c>
      <c r="E18" s="1957"/>
    </row>
    <row r="19" spans="1:5" ht="15.6">
      <c r="A19" s="1957"/>
      <c r="B19" s="2971" t="str">
        <f>结果表!E111</f>
        <v>——</v>
      </c>
      <c r="C19" s="1965" t="s">
        <v>1623</v>
      </c>
      <c r="D19" s="1041" t="str">
        <f>结果表!H111</f>
        <v>——</v>
      </c>
      <c r="E19" s="1957"/>
    </row>
    <row r="20" spans="1:5" ht="15.6">
      <c r="A20" s="1957"/>
      <c r="B20" s="2972"/>
      <c r="C20" s="1960" t="s">
        <v>1636</v>
      </c>
      <c r="D20" s="1040" t="e">
        <f>NUMBERSTRING(INT(D19*10000),2)&amp;"元整"</f>
        <v>#VALUE!</v>
      </c>
      <c r="E20" s="1957"/>
    </row>
    <row r="21" spans="1:5" ht="16.2" thickBot="1">
      <c r="A21" s="1957"/>
      <c r="B21" s="2973"/>
      <c r="C21" s="1967" t="s">
        <v>1634</v>
      </c>
      <c r="D21" s="1053" t="str">
        <f>结果表!H112</f>
        <v>——</v>
      </c>
      <c r="E21" s="1957"/>
    </row>
    <row r="22" spans="1:5" ht="14.4" thickTop="1">
      <c r="A22" s="1957"/>
      <c r="B22" s="1968" t="s">
        <v>1637</v>
      </c>
      <c r="C22" s="1957"/>
      <c r="D22" s="1957"/>
      <c r="E22" s="1957"/>
    </row>
    <row r="23" spans="1:5">
      <c r="A23" s="1957"/>
      <c r="B23" s="1957"/>
      <c r="C23" s="1957"/>
      <c r="D23" s="1957"/>
      <c r="E23" s="1957"/>
    </row>
    <row r="24" spans="1:5" ht="17.399999999999999">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87" t="s">
        <v>1150</v>
      </c>
      <c r="C1" s="3287"/>
      <c r="D1" s="3287"/>
      <c r="E1" s="3287"/>
      <c r="F1" s="3287"/>
      <c r="G1" s="3286" t="s">
        <v>1151</v>
      </c>
      <c r="H1" s="3286"/>
      <c r="I1" s="3286"/>
      <c r="J1" s="3286"/>
      <c r="K1" s="3286"/>
      <c r="L1" s="3286"/>
      <c r="N1" s="3286" t="s">
        <v>1152</v>
      </c>
      <c r="O1" s="3286"/>
      <c r="P1" s="3286"/>
      <c r="Q1" s="3286"/>
      <c r="R1" s="1445"/>
      <c r="S1" s="3286" t="s">
        <v>1153</v>
      </c>
      <c r="T1" s="3286"/>
      <c r="U1" s="3286"/>
      <c r="V1" s="3286"/>
      <c r="X1" s="3285" t="s">
        <v>1154</v>
      </c>
      <c r="Y1" s="3286"/>
      <c r="Z1" s="3286"/>
      <c r="AA1" s="3286"/>
      <c r="AB1" s="3286"/>
      <c r="AD1" s="3285" t="s">
        <v>1155</v>
      </c>
      <c r="AE1" s="3286"/>
      <c r="AF1" s="3286"/>
      <c r="AG1" s="3286"/>
      <c r="AH1" s="3286"/>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3" customFormat="1" ht="14.4">
      <c r="A3" s="2932" t="s">
        <v>3040</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2" customFormat="1" ht="14.4">
      <c r="B4" s="1453"/>
      <c r="C4" s="1453"/>
      <c r="D4" s="1454"/>
      <c r="E4" s="1454"/>
      <c r="F4" s="1453"/>
      <c r="G4" s="1455"/>
      <c r="H4" s="1456"/>
      <c r="I4" s="2917"/>
      <c r="J4" s="2917"/>
      <c r="K4" s="2917"/>
      <c r="L4" s="2917"/>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3046</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3">
        <v>2018</v>
      </c>
      <c r="H5" s="1728">
        <v>2</v>
      </c>
      <c r="I5" s="2918">
        <v>0</v>
      </c>
      <c r="J5" s="2918">
        <v>0</v>
      </c>
      <c r="K5" s="2918">
        <v>0</v>
      </c>
      <c r="L5" s="2918">
        <v>0</v>
      </c>
      <c r="N5" s="1466">
        <f t="shared" ref="N5" si="7">I5/100</f>
        <v>0</v>
      </c>
      <c r="O5" s="1466">
        <f t="shared" ref="O5" si="8">J5/100</f>
        <v>0</v>
      </c>
      <c r="P5" s="1466">
        <f t="shared" ref="P5" si="9">K5/100</f>
        <v>0</v>
      </c>
      <c r="Q5" s="1466">
        <f t="shared" ref="Q5" si="10">L5/100</f>
        <v>0</v>
      </c>
      <c r="R5" s="1730"/>
      <c r="S5" s="1731"/>
      <c r="T5" s="1730"/>
      <c r="U5" s="1730"/>
      <c r="V5" s="1730"/>
      <c r="W5" s="2922" t="s">
        <v>3041</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3039</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4">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3036</v>
      </c>
      <c r="B7" s="1468">
        <v>439</v>
      </c>
      <c r="C7" s="1468">
        <v>327</v>
      </c>
      <c r="D7" s="1468">
        <f>C7</f>
        <v>327</v>
      </c>
      <c r="E7" s="1468">
        <v>627</v>
      </c>
      <c r="F7" s="1469">
        <v>283</v>
      </c>
      <c r="G7" s="2920">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3037</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6"/>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5"/>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16"/>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88">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83"/>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83"/>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84"/>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282">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83"/>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83"/>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84"/>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282">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83"/>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83"/>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84"/>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8" thickBot="1">
      <c r="A23" s="1460" t="s">
        <v>1163</v>
      </c>
      <c r="B23" s="1468">
        <v>299</v>
      </c>
      <c r="C23" s="1468">
        <v>252</v>
      </c>
      <c r="D23" s="1468">
        <f t="shared" si="44"/>
        <v>252</v>
      </c>
      <c r="E23" s="1468">
        <v>409</v>
      </c>
      <c r="F23" s="1469">
        <v>227</v>
      </c>
      <c r="G23" s="3289">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0"/>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0"/>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1"/>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282">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83"/>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83"/>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284"/>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282">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83">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83">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84">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282">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83">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83">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84">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282">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83">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83">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84">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282">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83">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83">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84">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282">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83">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83">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84">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282">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83">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83">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84">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282">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83">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83">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84">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282">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83">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83">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84">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282">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83">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83">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284">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282">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83">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83">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284">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20" sqref="M20"/>
      <selection pane="bottomLeft" activeCell="M20" sqref="M2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293" t="s">
        <v>3008</v>
      </c>
      <c r="D1" s="3294"/>
      <c r="E1" s="3294"/>
      <c r="F1" s="3294"/>
      <c r="G1" s="3294"/>
      <c r="H1" s="3294"/>
      <c r="I1" s="3294"/>
      <c r="J1" s="3294"/>
      <c r="K1" s="3294"/>
      <c r="L1" s="3294"/>
      <c r="M1" s="3294"/>
      <c r="N1" s="3294"/>
      <c r="O1" s="3294"/>
      <c r="P1" s="3294"/>
      <c r="Q1" s="3294"/>
      <c r="R1" s="3294"/>
      <c r="S1" s="3295"/>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6"/>
      <c r="G4" s="1706"/>
      <c r="H4" s="1706"/>
      <c r="I4" s="1706"/>
      <c r="J4" s="1706"/>
      <c r="K4" s="1706"/>
      <c r="L4" s="1706"/>
      <c r="M4" s="1707"/>
      <c r="N4" s="1707"/>
      <c r="O4" s="1706"/>
      <c r="P4" s="1706"/>
      <c r="Q4" s="1706"/>
      <c r="R4" s="1706"/>
      <c r="S4" s="170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7" t="s">
        <v>3011</v>
      </c>
      <c r="C5" s="1216"/>
      <c r="D5" s="1217"/>
      <c r="E5" s="1217"/>
      <c r="F5" s="1709"/>
      <c r="G5" s="1709"/>
      <c r="H5" s="1709"/>
      <c r="I5" s="1709"/>
      <c r="J5" s="1709"/>
      <c r="K5" s="1709"/>
      <c r="L5" s="1710"/>
      <c r="M5" s="1711"/>
      <c r="N5" s="1711"/>
      <c r="O5" s="1709"/>
      <c r="P5" s="1709"/>
      <c r="Q5" s="1709"/>
      <c r="R5" s="1709"/>
      <c r="S5" s="1712"/>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8" t="s">
        <v>3012</v>
      </c>
      <c r="C7" s="1121"/>
      <c r="D7" s="1115"/>
      <c r="E7" s="1115"/>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8" t="s">
        <v>3013</v>
      </c>
      <c r="C9" s="1121"/>
      <c r="D9" s="1115"/>
      <c r="E9" s="1115"/>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7"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7"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7"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3017</v>
      </c>
      <c r="B17" s="2911"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3019</v>
      </c>
      <c r="E19" s="1790"/>
      <c r="F19" s="1790"/>
      <c r="G19" s="1790"/>
      <c r="H19" s="1280"/>
      <c r="I19" s="168"/>
      <c r="J19" s="168"/>
      <c r="K19" s="168"/>
      <c r="L19" s="168"/>
      <c r="M19" s="168"/>
      <c r="N19" s="168"/>
      <c r="O19" s="168"/>
      <c r="P19" s="168"/>
      <c r="Q19" s="168"/>
      <c r="R19" s="788"/>
      <c r="S19" s="138"/>
    </row>
    <row r="20" spans="1:45" ht="16.2" thickBot="1">
      <c r="A20" s="715" t="s">
        <v>3020</v>
      </c>
      <c r="B20" s="338" t="e">
        <f ca="1">IF(D20="——",S22,S22-F20)</f>
        <v>#REF!</v>
      </c>
      <c r="C20" s="168"/>
      <c r="D20" s="2913" t="s">
        <v>3021</v>
      </c>
      <c r="E20" s="1791"/>
      <c r="F20" s="1204" t="e">
        <f ca="1">SUMIF(INDIRECT("'"&amp;H20&amp;"'"&amp;"!A:A"),"承租人权益价值",INDIRECT("'"&amp;H20&amp;"'"&amp;"!c:c"))</f>
        <v>#REF!</v>
      </c>
      <c r="G20" s="1204" t="s">
        <v>3022</v>
      </c>
      <c r="H20" s="2914"/>
      <c r="I20" s="168"/>
      <c r="J20" s="168"/>
      <c r="K20" s="168"/>
      <c r="L20" s="168"/>
      <c r="M20" s="168"/>
      <c r="N20" s="168"/>
      <c r="O20" s="168"/>
      <c r="P20" s="168"/>
      <c r="Q20" s="168"/>
      <c r="R20" s="788"/>
      <c r="S20" s="138"/>
    </row>
    <row r="21" spans="1:45" ht="15.6">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51" t="s">
        <v>33</v>
      </c>
      <c r="D22" s="3152"/>
      <c r="E22" s="3152"/>
      <c r="F22" s="3152"/>
      <c r="G22" s="3152"/>
      <c r="H22" s="3152"/>
      <c r="I22" s="3152"/>
      <c r="J22" s="3152"/>
      <c r="K22" s="3152"/>
      <c r="L22" s="3152"/>
      <c r="M22" s="3152"/>
      <c r="N22" s="3152"/>
      <c r="O22" s="3152"/>
      <c r="P22" s="3152"/>
      <c r="Q22" s="3292"/>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47815</v>
      </c>
      <c r="C2" s="2" t="s">
        <v>133</v>
      </c>
      <c r="D2" s="243"/>
      <c r="E2" s="243"/>
      <c r="F2" s="243"/>
      <c r="G2" s="243"/>
    </row>
    <row r="3" spans="1:7" s="244" customFormat="1" ht="18" customHeight="1" thickBot="1">
      <c r="A3" s="247" t="s">
        <v>85</v>
      </c>
      <c r="B3" s="248">
        <f ca="1">ROUND(B2*10000/'数据-汇总表'!E3,0)</f>
        <v>9605</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249</v>
      </c>
      <c r="D9" s="1032">
        <f>'数据-汇总表'!E5</f>
        <v>49782.53</v>
      </c>
      <c r="E9" s="269">
        <f>'数据-取费表'!B27</f>
        <v>50</v>
      </c>
      <c r="F9" s="265"/>
      <c r="G9" s="270"/>
    </row>
    <row r="10" spans="1:7" s="258" customFormat="1" ht="13.5" customHeight="1">
      <c r="A10" s="950" t="s">
        <v>801</v>
      </c>
      <c r="B10" s="268" t="s">
        <v>94</v>
      </c>
      <c r="C10" s="269">
        <f>ROUND(D10*E10/10000,0)</f>
        <v>0</v>
      </c>
      <c r="D10" s="1032">
        <f>'数据-汇总表'!E6</f>
        <v>0</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996</v>
      </c>
      <c r="D19" s="1036">
        <f>'数据-汇总表'!E3</f>
        <v>49782.53</v>
      </c>
      <c r="E19" s="255">
        <f>'数据-取费表'!B31</f>
        <v>200</v>
      </c>
      <c r="F19" s="275"/>
      <c r="G19" s="1" t="s">
        <v>1074</v>
      </c>
    </row>
    <row r="20" spans="1:7" s="258" customFormat="1" ht="13.5" customHeight="1">
      <c r="A20" s="948" t="s">
        <v>1057</v>
      </c>
      <c r="B20" s="254" t="s">
        <v>104</v>
      </c>
      <c r="C20" s="276">
        <f>ROUND((C5+C19)*F20,0)</f>
        <v>432</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2011</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1900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92</v>
      </c>
      <c r="D24" s="282"/>
      <c r="E24" s="282"/>
      <c r="F24" s="283"/>
      <c r="G24" s="284" t="s">
        <v>109</v>
      </c>
    </row>
    <row r="25" spans="1:7" s="258" customFormat="1" ht="24">
      <c r="A25" s="951" t="s">
        <v>793</v>
      </c>
      <c r="B25" s="259" t="s">
        <v>1058</v>
      </c>
      <c r="C25" s="1355">
        <f ca="1">ROUND(IF('数据-取费表'!B22&lt;=1,C20*F22*'数据-取费表'!B23/2,C20*(POWER((1+F22),'数据-取费表'!B23/2)-1)),0)</f>
        <v>19</v>
      </c>
      <c r="D25" s="282"/>
      <c r="E25" s="285"/>
      <c r="F25" s="283"/>
      <c r="G25" s="286" t="s">
        <v>110</v>
      </c>
    </row>
    <row r="26" spans="1:7" s="258" customFormat="1">
      <c r="A26" s="951" t="s">
        <v>795</v>
      </c>
      <c r="B26" s="259" t="s">
        <v>1060</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3140</v>
      </c>
      <c r="D27" s="279">
        <f>C29</f>
        <v>2.8999999999999998E-3</v>
      </c>
      <c r="E27" s="280" t="s">
        <v>126</v>
      </c>
      <c r="F27" s="290">
        <f>'数据-取费表'!Q16</f>
        <v>0.15</v>
      </c>
      <c r="G27" s="291" t="s">
        <v>1069</v>
      </c>
    </row>
    <row r="28" spans="1:7" s="258" customFormat="1" ht="13.5" customHeight="1">
      <c r="A28" s="951" t="s">
        <v>794</v>
      </c>
      <c r="B28" s="292" t="s">
        <v>1062</v>
      </c>
      <c r="C28" s="293">
        <f>ROUND((C5+C19+C20)*F27*'数据-取费表'!B21/'数据-取费表'!B20,0)</f>
        <v>3140</v>
      </c>
      <c r="D28" s="279"/>
      <c r="E28" s="280"/>
      <c r="F28" s="290"/>
      <c r="G28" s="291"/>
    </row>
    <row r="29" spans="1:7" s="258" customFormat="1" ht="13.5" customHeight="1">
      <c r="A29" s="951" t="s">
        <v>792</v>
      </c>
      <c r="B29" s="292" t="s">
        <v>1063</v>
      </c>
      <c r="C29" s="282">
        <f>ROUND(C21*F27*'数据-取费表'!B21/'数据-取费表'!B20,4)</f>
        <v>2.8999999999999998E-3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29461</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13893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11824</v>
      </c>
      <c r="D34" s="261"/>
      <c r="E34" s="264"/>
      <c r="F34" s="301">
        <f>IF('数据-取费表'!B24=0,1,'数据-取费表'!N16)</f>
        <v>0.95</v>
      </c>
      <c r="G34" s="263" t="s">
        <v>116</v>
      </c>
    </row>
    <row r="35" spans="1:7" ht="13.5" customHeight="1">
      <c r="A35" s="951" t="s">
        <v>796</v>
      </c>
      <c r="B35" s="259" t="s">
        <v>60</v>
      </c>
      <c r="C35" s="264">
        <f>ROUND(C34*F35,0)</f>
        <v>355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591</v>
      </c>
      <c r="D36" s="264"/>
      <c r="E36" s="264"/>
      <c r="F36" s="303">
        <f>'数据-取费表'!B34</f>
        <v>0.05</v>
      </c>
      <c r="G36" s="304" t="s">
        <v>62</v>
      </c>
    </row>
    <row r="37" spans="1:7" s="302" customFormat="1" ht="13.5" customHeight="1">
      <c r="A37" s="951" t="s">
        <v>798</v>
      </c>
      <c r="B37" s="259" t="s">
        <v>118</v>
      </c>
      <c r="C37" s="293">
        <f>ROUND(E37*D37*F34/10000,0)</f>
        <v>946</v>
      </c>
      <c r="D37" s="261">
        <f>'数据-汇总表'!E3</f>
        <v>49782.53</v>
      </c>
      <c r="E37" s="293">
        <f>'数据-取费表'!B35</f>
        <v>200</v>
      </c>
      <c r="F37" s="303"/>
      <c r="G37" s="305" t="s">
        <v>119</v>
      </c>
    </row>
    <row r="38" spans="1:7" ht="13.5" customHeight="1">
      <c r="A38" s="951" t="s">
        <v>799</v>
      </c>
      <c r="B38" s="259" t="s">
        <v>63</v>
      </c>
      <c r="C38" s="264">
        <f>ROUND(C34*F38,0)</f>
        <v>177</v>
      </c>
      <c r="D38" s="264"/>
      <c r="E38" s="264"/>
      <c r="F38" s="303">
        <f>'数据-取费表'!B36</f>
        <v>1.4999999999999999E-2</v>
      </c>
      <c r="G38" s="263" t="s">
        <v>117</v>
      </c>
    </row>
    <row r="39" spans="1:7" s="258" customFormat="1" ht="13.5" customHeight="1">
      <c r="A39" s="948" t="s">
        <v>783</v>
      </c>
      <c r="B39" s="254" t="s">
        <v>104</v>
      </c>
      <c r="C39" s="276">
        <f>ROUND(C33*F20,0)</f>
        <v>278</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639</v>
      </c>
      <c r="D41" s="279">
        <f ca="1">C44</f>
        <v>8.9999999999999998E-4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626</v>
      </c>
      <c r="D42" s="282"/>
      <c r="E42" s="282"/>
      <c r="F42" s="283"/>
      <c r="G42" s="3201" t="s">
        <v>121</v>
      </c>
    </row>
    <row r="43" spans="1:7" ht="13.5" customHeight="1">
      <c r="A43" s="951" t="s">
        <v>792</v>
      </c>
      <c r="B43" s="259" t="s">
        <v>1064</v>
      </c>
      <c r="C43" s="282">
        <f ca="1">ROUND(IF('数据-取费表'!B22&lt;=1,C39*F22*'数据-取费表'!B21/2,C39*(POWER((1+F22),'数据-取费表'!B21/2)-1)),0)</f>
        <v>13</v>
      </c>
      <c r="D43" s="282"/>
      <c r="E43" s="282"/>
      <c r="F43" s="283"/>
      <c r="G43" s="3202"/>
    </row>
    <row r="44" spans="1:7" ht="13.5" customHeight="1">
      <c r="A44" s="951" t="s">
        <v>793</v>
      </c>
      <c r="B44" s="259" t="s">
        <v>1066</v>
      </c>
      <c r="C44" s="282">
        <f ca="1">ROUND(IF('数据-取费表'!B22&lt;=1,C40*F22*'数据-取费表'!B21/2,C40*(POWER((1+F22),'数据-取费表'!B21/2)-1)),4)</f>
        <v>8.9999999999999998E-4</v>
      </c>
      <c r="D44" s="282"/>
      <c r="E44" s="282"/>
      <c r="F44" s="283"/>
      <c r="G44" s="3203"/>
    </row>
    <row r="45" spans="1:7" s="258" customFormat="1" ht="13.5" customHeight="1">
      <c r="A45" s="948" t="s">
        <v>786</v>
      </c>
      <c r="B45" s="288" t="s">
        <v>112</v>
      </c>
      <c r="C45" s="289">
        <f>C46</f>
        <v>2126</v>
      </c>
      <c r="D45" s="279">
        <f>C47</f>
        <v>3.0000000000000001E-3</v>
      </c>
      <c r="E45" s="280" t="s">
        <v>129</v>
      </c>
      <c r="F45" s="290"/>
      <c r="G45" s="291" t="s">
        <v>1072</v>
      </c>
    </row>
    <row r="46" spans="1:7" s="258" customFormat="1" ht="13.5" customHeight="1">
      <c r="A46" s="951" t="s">
        <v>794</v>
      </c>
      <c r="B46" s="292" t="s">
        <v>1065</v>
      </c>
      <c r="C46" s="293">
        <f>ROUND((C33+C39)*F27,0)</f>
        <v>2126</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18354</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18354</v>
      </c>
      <c r="D51" s="276"/>
      <c r="E51" s="276"/>
      <c r="F51" s="308"/>
      <c r="G51" s="278" t="s">
        <v>64</v>
      </c>
    </row>
    <row r="52" spans="1:7" s="252" customFormat="1" ht="16.8" thickBot="1">
      <c r="A52" s="309" t="s">
        <v>65</v>
      </c>
      <c r="B52" s="310"/>
      <c r="C52" s="311">
        <f ca="1">C31+C51</f>
        <v>47815</v>
      </c>
      <c r="D52" s="310"/>
      <c r="E52" s="310"/>
      <c r="F52" s="310"/>
      <c r="G52" s="312"/>
    </row>
    <row r="55" spans="1:7" ht="15">
      <c r="B55" s="314" t="s">
        <v>66</v>
      </c>
      <c r="C55" s="315"/>
    </row>
    <row r="56" spans="1:7">
      <c r="B56" s="317" t="s">
        <v>67</v>
      </c>
      <c r="C56" s="318">
        <f ca="1">ROUND(C51/C52,3)</f>
        <v>0.38400000000000001</v>
      </c>
    </row>
    <row r="57" spans="1:7">
      <c r="B57" s="317" t="s">
        <v>68</v>
      </c>
      <c r="C57" s="319">
        <f ca="1">1-C56</f>
        <v>0.61599999999999999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96" t="s">
        <v>156</v>
      </c>
      <c r="B1" s="3296"/>
      <c r="C1" s="3296"/>
      <c r="D1" s="3296"/>
      <c r="E1" s="3296"/>
      <c r="F1" s="329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97" t="s">
        <v>169</v>
      </c>
      <c r="B2" s="3297"/>
      <c r="C2" s="3297"/>
      <c r="D2" s="3297"/>
      <c r="E2" s="3297"/>
      <c r="F2" s="329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96" t="s">
        <v>871</v>
      </c>
      <c r="B1" s="3296"/>
    </row>
    <row r="2" spans="1:6" ht="15" thickBot="1">
      <c r="A2" s="1057"/>
      <c r="B2" s="1057"/>
    </row>
    <row r="3" spans="1:6" ht="15" thickBot="1">
      <c r="A3" s="1057"/>
      <c r="B3" s="1057"/>
      <c r="C3" s="1061" t="s">
        <v>874</v>
      </c>
      <c r="D3" s="1061" t="s">
        <v>875</v>
      </c>
      <c r="E3" s="1061" t="s">
        <v>876</v>
      </c>
      <c r="F3" s="1061" t="s">
        <v>877</v>
      </c>
    </row>
    <row r="4" spans="1:6" ht="15" thickBot="1">
      <c r="A4" s="1059" t="s">
        <v>872</v>
      </c>
      <c r="B4" s="1060" t="s">
        <v>873</v>
      </c>
      <c r="C4" s="1061"/>
      <c r="D4" s="1061"/>
      <c r="E4" s="1061"/>
      <c r="F4" s="1061"/>
    </row>
    <row r="5" spans="1:6" ht="15" thickBot="1">
      <c r="A5" s="837" t="s">
        <v>878</v>
      </c>
      <c r="B5" s="838" t="s">
        <v>879</v>
      </c>
      <c r="C5" s="1062">
        <v>8.8999999999999996E-2</v>
      </c>
      <c r="D5" s="1062">
        <v>7.3999999999999996E-2</v>
      </c>
      <c r="E5" s="1062">
        <v>7.4999999999999997E-2</v>
      </c>
      <c r="F5" s="1063">
        <v>0.1</v>
      </c>
    </row>
    <row r="6" spans="1:6" ht="15" thickBot="1">
      <c r="A6" s="837" t="s">
        <v>212</v>
      </c>
      <c r="B6" s="831" t="s">
        <v>880</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881</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882</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883</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884</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885</v>
      </c>
      <c r="C72" s="1077"/>
      <c r="D72" s="1077"/>
      <c r="E72" s="1077"/>
      <c r="F72" s="1065">
        <v>0.05</v>
      </c>
    </row>
    <row r="73" spans="1:6" ht="24.6" thickBot="1">
      <c r="A73" s="837" t="s">
        <v>137</v>
      </c>
      <c r="B73" s="831" t="s">
        <v>886</v>
      </c>
      <c r="C73" s="1077"/>
      <c r="D73" s="1077"/>
      <c r="E73" s="1077"/>
      <c r="F73" s="1065">
        <v>0.05</v>
      </c>
    </row>
    <row r="74" spans="1:6" ht="24.6" thickBot="1">
      <c r="A74" s="837" t="s">
        <v>137</v>
      </c>
      <c r="B74" s="831" t="s">
        <v>887</v>
      </c>
      <c r="C74" s="1077"/>
      <c r="D74" s="1077"/>
      <c r="E74" s="1077"/>
      <c r="F74" s="1065">
        <v>0.05</v>
      </c>
    </row>
    <row r="75" spans="1:6" ht="24.6" thickBot="1">
      <c r="A75" s="847" t="s">
        <v>137</v>
      </c>
      <c r="B75" s="843" t="s">
        <v>888</v>
      </c>
      <c r="C75" s="1074"/>
      <c r="D75" s="1074"/>
      <c r="E75" s="1074"/>
      <c r="F75" s="1067">
        <v>0.05</v>
      </c>
    </row>
    <row r="76" spans="1:6" ht="15" thickBot="1">
      <c r="A76" s="837" t="s">
        <v>523</v>
      </c>
      <c r="B76" s="838" t="s">
        <v>889</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890</v>
      </c>
      <c r="C102" s="1077"/>
      <c r="D102" s="1077"/>
      <c r="E102" s="1077"/>
      <c r="F102" s="1065">
        <v>0.05</v>
      </c>
    </row>
    <row r="103" spans="1:6" ht="24.6" thickBot="1">
      <c r="A103" s="837" t="s">
        <v>523</v>
      </c>
      <c r="B103" s="831" t="s">
        <v>891</v>
      </c>
      <c r="C103" s="1077"/>
      <c r="D103" s="1077"/>
      <c r="E103" s="1077"/>
      <c r="F103" s="1065">
        <v>0.05</v>
      </c>
    </row>
    <row r="104" spans="1:6" ht="15" thickBot="1">
      <c r="A104" s="837" t="s">
        <v>523</v>
      </c>
      <c r="B104" s="831" t="s">
        <v>892</v>
      </c>
      <c r="C104" s="1077"/>
      <c r="D104" s="1077"/>
      <c r="E104" s="1077"/>
      <c r="F104" s="1065">
        <v>0.05</v>
      </c>
    </row>
    <row r="105" spans="1:6" ht="24.6" thickBot="1">
      <c r="A105" s="837" t="s">
        <v>523</v>
      </c>
      <c r="B105" s="831" t="s">
        <v>893</v>
      </c>
      <c r="C105" s="1077"/>
      <c r="D105" s="1077"/>
      <c r="E105" s="1077"/>
      <c r="F105" s="1065">
        <v>0.05</v>
      </c>
    </row>
    <row r="106" spans="1:6" ht="24.6" thickBot="1">
      <c r="A106" s="837" t="s">
        <v>523</v>
      </c>
      <c r="B106" s="831" t="s">
        <v>894</v>
      </c>
      <c r="C106" s="1077"/>
      <c r="D106" s="1077"/>
      <c r="E106" s="1077"/>
      <c r="F106" s="1065">
        <v>0.05</v>
      </c>
    </row>
    <row r="107" spans="1:6" ht="24.6" thickBot="1">
      <c r="A107" s="837" t="s">
        <v>523</v>
      </c>
      <c r="B107" s="831" t="s">
        <v>895</v>
      </c>
      <c r="C107" s="1077"/>
      <c r="D107" s="1077"/>
      <c r="E107" s="1077"/>
      <c r="F107" s="1065">
        <v>0.05</v>
      </c>
    </row>
    <row r="108" spans="1:6" ht="24.6" thickBot="1">
      <c r="A108" s="837" t="s">
        <v>523</v>
      </c>
      <c r="B108" s="831" t="s">
        <v>896</v>
      </c>
      <c r="C108" s="1077"/>
      <c r="D108" s="1077"/>
      <c r="E108" s="1077"/>
      <c r="F108" s="1065">
        <v>0.05</v>
      </c>
    </row>
    <row r="109" spans="1:6" ht="24.6" thickBot="1">
      <c r="A109" s="847" t="s">
        <v>523</v>
      </c>
      <c r="B109" s="843" t="s">
        <v>897</v>
      </c>
      <c r="C109" s="1074"/>
      <c r="D109" s="1074"/>
      <c r="E109" s="1074"/>
      <c r="F109" s="1067">
        <v>0.05</v>
      </c>
    </row>
    <row r="110" spans="1:6" ht="15" thickBot="1">
      <c r="A110" s="837" t="s">
        <v>56</v>
      </c>
      <c r="B110" s="838" t="s">
        <v>898</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899</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900</v>
      </c>
      <c r="C138" s="1064">
        <v>0.105</v>
      </c>
      <c r="D138" s="1064">
        <v>0.125</v>
      </c>
      <c r="E138" s="1064">
        <v>0.112</v>
      </c>
      <c r="F138" s="1076"/>
    </row>
    <row r="139" spans="1:6" ht="15" thickBot="1">
      <c r="A139" s="837" t="s">
        <v>56</v>
      </c>
      <c r="B139" s="831" t="s">
        <v>901</v>
      </c>
      <c r="C139" s="1064">
        <v>0.127</v>
      </c>
      <c r="D139" s="1064">
        <v>0.127</v>
      </c>
      <c r="E139" s="1064">
        <v>0.122</v>
      </c>
      <c r="F139" s="1065">
        <v>0.13</v>
      </c>
    </row>
    <row r="140" spans="1:6" ht="15" thickBot="1">
      <c r="A140" s="837" t="s">
        <v>56</v>
      </c>
      <c r="B140" s="831" t="s">
        <v>902</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903</v>
      </c>
      <c r="C144" s="1069">
        <v>0.126</v>
      </c>
      <c r="D144" s="1069">
        <v>0.126</v>
      </c>
      <c r="E144" s="1069">
        <v>0.121</v>
      </c>
      <c r="F144" s="1076"/>
    </row>
    <row r="145" spans="1:6" ht="15" thickBot="1">
      <c r="A145" s="847" t="s">
        <v>56</v>
      </c>
      <c r="B145" s="1070" t="s">
        <v>904</v>
      </c>
      <c r="C145" s="1078"/>
      <c r="D145" s="1078"/>
      <c r="E145" s="1078"/>
      <c r="F145" s="1071">
        <v>0.05</v>
      </c>
    </row>
    <row r="146" spans="1:6" ht="24.6" thickBot="1">
      <c r="A146" s="1072" t="s">
        <v>56</v>
      </c>
      <c r="B146" s="841" t="s">
        <v>905</v>
      </c>
      <c r="C146" s="1077"/>
      <c r="D146" s="1077"/>
      <c r="E146" s="1077"/>
      <c r="F146" s="1073">
        <v>0.05</v>
      </c>
    </row>
    <row r="147" spans="1:6" ht="24.6" thickBot="1">
      <c r="A147" s="837" t="s">
        <v>56</v>
      </c>
      <c r="B147" s="831" t="s">
        <v>906</v>
      </c>
      <c r="C147" s="1077"/>
      <c r="D147" s="1077"/>
      <c r="E147" s="1077"/>
      <c r="F147" s="1065">
        <v>0.05</v>
      </c>
    </row>
    <row r="148" spans="1:6" ht="24.6" thickBot="1">
      <c r="A148" s="837" t="s">
        <v>56</v>
      </c>
      <c r="B148" s="831" t="s">
        <v>907</v>
      </c>
      <c r="C148" s="1077"/>
      <c r="D148" s="1077"/>
      <c r="E148" s="1077"/>
      <c r="F148" s="1065">
        <v>0.05</v>
      </c>
    </row>
    <row r="149" spans="1:6" ht="24.6" thickBot="1">
      <c r="A149" s="837" t="s">
        <v>56</v>
      </c>
      <c r="B149" s="831" t="s">
        <v>908</v>
      </c>
      <c r="C149" s="1077"/>
      <c r="D149" s="1077"/>
      <c r="E149" s="1077"/>
      <c r="F149" s="1065">
        <v>0.05</v>
      </c>
    </row>
    <row r="150" spans="1:6" ht="24.6" thickBot="1">
      <c r="A150" s="837" t="s">
        <v>56</v>
      </c>
      <c r="B150" s="831" t="s">
        <v>909</v>
      </c>
      <c r="C150" s="1077"/>
      <c r="D150" s="1077"/>
      <c r="E150" s="1077"/>
      <c r="F150" s="1065">
        <v>0.05</v>
      </c>
    </row>
    <row r="151" spans="1:6" ht="24.6" thickBot="1">
      <c r="A151" s="837" t="s">
        <v>56</v>
      </c>
      <c r="B151" s="831" t="s">
        <v>910</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911</v>
      </c>
      <c r="C153" s="1077"/>
      <c r="D153" s="1077"/>
      <c r="E153" s="1077"/>
      <c r="F153" s="1065">
        <v>0.05</v>
      </c>
    </row>
    <row r="154" spans="1:6" ht="15" thickBot="1">
      <c r="A154" s="837" t="s">
        <v>56</v>
      </c>
      <c r="B154" s="831" t="s">
        <v>912</v>
      </c>
      <c r="C154" s="1077"/>
      <c r="D154" s="1077"/>
      <c r="E154" s="1077"/>
      <c r="F154" s="1065">
        <v>0.05</v>
      </c>
    </row>
    <row r="155" spans="1:6" ht="24.6" thickBot="1">
      <c r="A155" s="837" t="s">
        <v>56</v>
      </c>
      <c r="B155" s="831" t="s">
        <v>913</v>
      </c>
      <c r="C155" s="1077"/>
      <c r="D155" s="1077"/>
      <c r="E155" s="1077"/>
      <c r="F155" s="1065">
        <v>0.05</v>
      </c>
    </row>
    <row r="156" spans="1:6" ht="24.6" thickBot="1">
      <c r="A156" s="837" t="s">
        <v>56</v>
      </c>
      <c r="B156" s="831" t="s">
        <v>914</v>
      </c>
      <c r="C156" s="1077"/>
      <c r="D156" s="1077"/>
      <c r="E156" s="1077"/>
      <c r="F156" s="1065">
        <v>0.05</v>
      </c>
    </row>
    <row r="157" spans="1:6" ht="24.6" thickBot="1">
      <c r="A157" s="847" t="s">
        <v>56</v>
      </c>
      <c r="B157" s="843" t="s">
        <v>915</v>
      </c>
      <c r="C157" s="1074"/>
      <c r="D157" s="1074"/>
      <c r="E157" s="1074"/>
      <c r="F157" s="1067">
        <v>0.05</v>
      </c>
    </row>
    <row r="158" spans="1:6" ht="15" thickBot="1">
      <c r="A158" s="837" t="s">
        <v>526</v>
      </c>
      <c r="B158" s="838" t="s">
        <v>916</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917</v>
      </c>
      <c r="C171" s="1064">
        <v>0.127</v>
      </c>
      <c r="D171" s="1064">
        <v>0.126</v>
      </c>
      <c r="E171" s="1064">
        <v>0.126</v>
      </c>
      <c r="F171" s="1065">
        <v>0.11799999999999999</v>
      </c>
    </row>
    <row r="172" spans="1:6" ht="15" thickBot="1">
      <c r="A172" s="837" t="s">
        <v>526</v>
      </c>
      <c r="B172" s="831" t="s">
        <v>918</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919</v>
      </c>
      <c r="C174" s="1064">
        <v>0.13</v>
      </c>
      <c r="D174" s="1064">
        <v>0.13</v>
      </c>
      <c r="E174" s="1064">
        <v>0.13</v>
      </c>
      <c r="F174" s="1065">
        <v>0.13</v>
      </c>
    </row>
    <row r="175" spans="1:6" ht="15" thickBot="1">
      <c r="A175" s="837" t="s">
        <v>526</v>
      </c>
      <c r="B175" s="831" t="s">
        <v>920</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921</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922</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923</v>
      </c>
      <c r="C185" s="1064">
        <v>0.127</v>
      </c>
      <c r="D185" s="1064">
        <v>0.127</v>
      </c>
      <c r="E185" s="1064">
        <v>0.128</v>
      </c>
      <c r="F185" s="1065">
        <v>0.13</v>
      </c>
    </row>
    <row r="186" spans="1:6" ht="24.6" thickBot="1">
      <c r="A186" s="837" t="s">
        <v>526</v>
      </c>
      <c r="B186" s="831" t="s">
        <v>924</v>
      </c>
      <c r="C186" s="1077"/>
      <c r="D186" s="1077"/>
      <c r="E186" s="1077"/>
      <c r="F186" s="1065">
        <v>0.05</v>
      </c>
    </row>
    <row r="187" spans="1:6" ht="15" thickBot="1">
      <c r="A187" s="837" t="s">
        <v>526</v>
      </c>
      <c r="B187" s="831" t="s">
        <v>925</v>
      </c>
      <c r="C187" s="1077"/>
      <c r="D187" s="1077"/>
      <c r="E187" s="1077"/>
      <c r="F187" s="1065">
        <v>0.05</v>
      </c>
    </row>
    <row r="188" spans="1:6" ht="24.6" thickBot="1">
      <c r="A188" s="837" t="s">
        <v>526</v>
      </c>
      <c r="B188" s="831" t="s">
        <v>926</v>
      </c>
      <c r="C188" s="1077"/>
      <c r="D188" s="1077"/>
      <c r="E188" s="1077"/>
      <c r="F188" s="1065">
        <v>0.05</v>
      </c>
    </row>
    <row r="189" spans="1:6" ht="24.6" thickBot="1">
      <c r="A189" s="837" t="s">
        <v>526</v>
      </c>
      <c r="B189" s="831" t="s">
        <v>927</v>
      </c>
      <c r="C189" s="1077"/>
      <c r="D189" s="1077"/>
      <c r="E189" s="1077"/>
      <c r="F189" s="1065">
        <v>0.05</v>
      </c>
    </row>
    <row r="190" spans="1:6" ht="24.6" thickBot="1">
      <c r="A190" s="837" t="s">
        <v>526</v>
      </c>
      <c r="B190" s="831" t="s">
        <v>928</v>
      </c>
      <c r="C190" s="1077"/>
      <c r="D190" s="1077"/>
      <c r="E190" s="1077"/>
      <c r="F190" s="1065">
        <v>0.05</v>
      </c>
    </row>
    <row r="191" spans="1:6" ht="24.6" thickBot="1">
      <c r="A191" s="837" t="s">
        <v>526</v>
      </c>
      <c r="B191" s="831" t="s">
        <v>929</v>
      </c>
      <c r="C191" s="1077"/>
      <c r="D191" s="1077"/>
      <c r="E191" s="1077"/>
      <c r="F191" s="1065">
        <v>0.05</v>
      </c>
    </row>
    <row r="192" spans="1:6" ht="24.6" thickBot="1">
      <c r="A192" s="837" t="s">
        <v>526</v>
      </c>
      <c r="B192" s="831" t="s">
        <v>930</v>
      </c>
      <c r="C192" s="1077"/>
      <c r="D192" s="1077"/>
      <c r="E192" s="1077"/>
      <c r="F192" s="1065">
        <v>0.05</v>
      </c>
    </row>
    <row r="193" spans="1:6" ht="24.6" thickBot="1">
      <c r="A193" s="837" t="s">
        <v>526</v>
      </c>
      <c r="B193" s="831" t="s">
        <v>931</v>
      </c>
      <c r="C193" s="1077"/>
      <c r="D193" s="1077"/>
      <c r="E193" s="1077"/>
      <c r="F193" s="1065">
        <v>0.05</v>
      </c>
    </row>
    <row r="194" spans="1:6" ht="24.6" thickBot="1">
      <c r="A194" s="837" t="s">
        <v>526</v>
      </c>
      <c r="B194" s="831" t="s">
        <v>932</v>
      </c>
      <c r="C194" s="1077"/>
      <c r="D194" s="1077"/>
      <c r="E194" s="1077"/>
      <c r="F194" s="1065">
        <v>0.05</v>
      </c>
    </row>
    <row r="195" spans="1:6" ht="15" thickBot="1">
      <c r="A195" s="837" t="s">
        <v>526</v>
      </c>
      <c r="B195" s="831" t="s">
        <v>933</v>
      </c>
      <c r="C195" s="1077"/>
      <c r="D195" s="1077"/>
      <c r="E195" s="1077"/>
      <c r="F195" s="1065">
        <v>0.05</v>
      </c>
    </row>
    <row r="196" spans="1:6" ht="24.6" thickBot="1">
      <c r="A196" s="837" t="s">
        <v>526</v>
      </c>
      <c r="B196" s="831" t="s">
        <v>934</v>
      </c>
      <c r="C196" s="1077"/>
      <c r="D196" s="1077"/>
      <c r="E196" s="1077"/>
      <c r="F196" s="1065">
        <v>0.05</v>
      </c>
    </row>
    <row r="197" spans="1:6" ht="24.6" thickBot="1">
      <c r="A197" s="837" t="s">
        <v>526</v>
      </c>
      <c r="B197" s="831" t="s">
        <v>935</v>
      </c>
      <c r="C197" s="1077"/>
      <c r="D197" s="1077"/>
      <c r="E197" s="1077"/>
      <c r="F197" s="1065">
        <v>0.05</v>
      </c>
    </row>
    <row r="198" spans="1:6" ht="24.6" thickBot="1">
      <c r="A198" s="837" t="s">
        <v>526</v>
      </c>
      <c r="B198" s="831" t="s">
        <v>936</v>
      </c>
      <c r="C198" s="1077"/>
      <c r="D198" s="1077"/>
      <c r="E198" s="1077"/>
      <c r="F198" s="1065">
        <v>0.05</v>
      </c>
    </row>
    <row r="199" spans="1:6" ht="24.6" thickBot="1">
      <c r="A199" s="837" t="s">
        <v>526</v>
      </c>
      <c r="B199" s="831" t="s">
        <v>937</v>
      </c>
      <c r="C199" s="1077"/>
      <c r="D199" s="1077"/>
      <c r="E199" s="1077"/>
      <c r="F199" s="1065">
        <v>0.05</v>
      </c>
    </row>
    <row r="200" spans="1:6" ht="24.6" thickBot="1">
      <c r="A200" s="837" t="s">
        <v>526</v>
      </c>
      <c r="B200" s="831" t="s">
        <v>938</v>
      </c>
      <c r="C200" s="1077"/>
      <c r="D200" s="1077"/>
      <c r="E200" s="1077"/>
      <c r="F200" s="1065">
        <v>0.05</v>
      </c>
    </row>
    <row r="201" spans="1:6" ht="24.6" thickBot="1">
      <c r="A201" s="837" t="s">
        <v>526</v>
      </c>
      <c r="B201" s="831" t="s">
        <v>939</v>
      </c>
      <c r="C201" s="1077"/>
      <c r="D201" s="1077"/>
      <c r="E201" s="1077"/>
      <c r="F201" s="1065">
        <v>0.05</v>
      </c>
    </row>
    <row r="202" spans="1:6" ht="24.6" thickBot="1">
      <c r="A202" s="837" t="s">
        <v>526</v>
      </c>
      <c r="B202" s="831" t="s">
        <v>940</v>
      </c>
      <c r="C202" s="1077"/>
      <c r="D202" s="1077"/>
      <c r="E202" s="1077"/>
      <c r="F202" s="1065">
        <v>0.05</v>
      </c>
    </row>
    <row r="203" spans="1:6" ht="24.6" thickBot="1">
      <c r="A203" s="837" t="s">
        <v>526</v>
      </c>
      <c r="B203" s="831" t="s">
        <v>941</v>
      </c>
      <c r="C203" s="1077"/>
      <c r="D203" s="1077"/>
      <c r="E203" s="1077"/>
      <c r="F203" s="1065">
        <v>0.05</v>
      </c>
    </row>
    <row r="204" spans="1:6" ht="15" thickBot="1">
      <c r="A204" s="837" t="s">
        <v>526</v>
      </c>
      <c r="B204" s="831" t="s">
        <v>942</v>
      </c>
      <c r="C204" s="1077"/>
      <c r="D204" s="1077"/>
      <c r="E204" s="1077"/>
      <c r="F204" s="1065">
        <v>0.05</v>
      </c>
    </row>
    <row r="205" spans="1:6" ht="15" thickBot="1">
      <c r="A205" s="847" t="s">
        <v>526</v>
      </c>
      <c r="B205" s="843" t="s">
        <v>943</v>
      </c>
      <c r="C205" s="1074"/>
      <c r="D205" s="1074"/>
      <c r="E205" s="1074"/>
      <c r="F205" s="1067">
        <v>0.05</v>
      </c>
    </row>
    <row r="206" spans="1:6" ht="15" thickBot="1">
      <c r="A206" s="837" t="s">
        <v>528</v>
      </c>
      <c r="B206" s="838" t="s">
        <v>944</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945</v>
      </c>
      <c r="C210" s="1064">
        <v>0.15</v>
      </c>
      <c r="D210" s="1064">
        <v>0.15</v>
      </c>
      <c r="E210" s="1064">
        <v>0.15</v>
      </c>
      <c r="F210" s="1065">
        <v>0.13800000000000001</v>
      </c>
    </row>
    <row r="211" spans="1:6" ht="15" thickBot="1">
      <c r="A211" s="837" t="s">
        <v>528</v>
      </c>
      <c r="B211" s="831" t="s">
        <v>946</v>
      </c>
      <c r="C211" s="1064">
        <v>0.13700000000000001</v>
      </c>
      <c r="D211" s="1064">
        <v>0.13500000000000001</v>
      </c>
      <c r="E211" s="1064">
        <v>0.13600000000000001</v>
      </c>
      <c r="F211" s="1065">
        <v>0.1</v>
      </c>
    </row>
    <row r="212" spans="1:6" ht="15" thickBot="1">
      <c r="A212" s="837" t="s">
        <v>528</v>
      </c>
      <c r="B212" s="831" t="s">
        <v>947</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948</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949</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950</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951</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952</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953</v>
      </c>
      <c r="C231" s="1064">
        <v>0.128</v>
      </c>
      <c r="D231" s="1064">
        <v>0.125</v>
      </c>
      <c r="E231" s="1064">
        <v>0.13200000000000001</v>
      </c>
      <c r="F231" s="1076"/>
    </row>
    <row r="232" spans="1:6" ht="15" thickBot="1">
      <c r="A232" s="837" t="s">
        <v>528</v>
      </c>
      <c r="B232" s="831" t="s">
        <v>954</v>
      </c>
      <c r="C232" s="1064">
        <v>0.14499999999999999</v>
      </c>
      <c r="D232" s="1064">
        <v>0.14399999999999999</v>
      </c>
      <c r="E232" s="1064">
        <v>0.14599999999999999</v>
      </c>
      <c r="F232" s="1065">
        <v>0.13800000000000001</v>
      </c>
    </row>
    <row r="233" spans="1:6" ht="15" thickBot="1">
      <c r="A233" s="837" t="s">
        <v>528</v>
      </c>
      <c r="B233" s="831" t="s">
        <v>955</v>
      </c>
      <c r="C233" s="1064">
        <v>0.14499999999999999</v>
      </c>
      <c r="D233" s="1064">
        <v>0.14299999999999999</v>
      </c>
      <c r="E233" s="1064">
        <v>0.14199999999999999</v>
      </c>
      <c r="F233" s="1076"/>
    </row>
    <row r="234" spans="1:6" ht="15" thickBot="1">
      <c r="A234" s="837" t="s">
        <v>528</v>
      </c>
      <c r="B234" s="831" t="s">
        <v>956</v>
      </c>
      <c r="C234" s="1064">
        <v>0.14000000000000001</v>
      </c>
      <c r="D234" s="1064">
        <v>0.14000000000000001</v>
      </c>
      <c r="E234" s="1064">
        <v>0.14399999999999999</v>
      </c>
      <c r="F234" s="1076"/>
    </row>
    <row r="235" spans="1:6" ht="15" thickBot="1">
      <c r="A235" s="837" t="s">
        <v>528</v>
      </c>
      <c r="B235" s="831" t="s">
        <v>957</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958</v>
      </c>
      <c r="C237" s="1077"/>
      <c r="D237" s="1077"/>
      <c r="E237" s="1077"/>
      <c r="F237" s="1065">
        <v>0.05</v>
      </c>
    </row>
    <row r="238" spans="1:6" ht="24.6" thickBot="1">
      <c r="A238" s="837" t="s">
        <v>528</v>
      </c>
      <c r="B238" s="831" t="s">
        <v>959</v>
      </c>
      <c r="C238" s="1077"/>
      <c r="D238" s="1077"/>
      <c r="E238" s="1077"/>
      <c r="F238" s="1065">
        <v>0.05</v>
      </c>
    </row>
    <row r="239" spans="1:6" ht="24.6" thickBot="1">
      <c r="A239" s="837" t="s">
        <v>528</v>
      </c>
      <c r="B239" s="831" t="s">
        <v>960</v>
      </c>
      <c r="C239" s="1077"/>
      <c r="D239" s="1077"/>
      <c r="E239" s="1077"/>
      <c r="F239" s="1065">
        <v>0.05</v>
      </c>
    </row>
    <row r="240" spans="1:6" ht="24.6" thickBot="1">
      <c r="A240" s="837" t="s">
        <v>528</v>
      </c>
      <c r="B240" s="831" t="s">
        <v>961</v>
      </c>
      <c r="C240" s="1077"/>
      <c r="D240" s="1077"/>
      <c r="E240" s="1077"/>
      <c r="F240" s="1065">
        <v>0.05</v>
      </c>
    </row>
    <row r="241" spans="1:6" ht="24.6" thickBot="1">
      <c r="A241" s="837" t="s">
        <v>528</v>
      </c>
      <c r="B241" s="831" t="s">
        <v>962</v>
      </c>
      <c r="C241" s="1077"/>
      <c r="D241" s="1077"/>
      <c r="E241" s="1077"/>
      <c r="F241" s="1065">
        <v>0.05</v>
      </c>
    </row>
    <row r="242" spans="1:6" ht="24.6" thickBot="1">
      <c r="A242" s="837" t="s">
        <v>528</v>
      </c>
      <c r="B242" s="831" t="s">
        <v>963</v>
      </c>
      <c r="C242" s="1077"/>
      <c r="D242" s="1077"/>
      <c r="E242" s="1077"/>
      <c r="F242" s="1065">
        <v>0.05</v>
      </c>
    </row>
    <row r="243" spans="1:6" ht="24.6" thickBot="1">
      <c r="A243" s="837" t="s">
        <v>528</v>
      </c>
      <c r="B243" s="831" t="s">
        <v>964</v>
      </c>
      <c r="C243" s="1077"/>
      <c r="D243" s="1077"/>
      <c r="E243" s="1077"/>
      <c r="F243" s="1065">
        <v>0.05</v>
      </c>
    </row>
    <row r="244" spans="1:6" ht="24.6" thickBot="1">
      <c r="A244" s="847" t="s">
        <v>528</v>
      </c>
      <c r="B244" s="843" t="s">
        <v>965</v>
      </c>
      <c r="C244" s="1074"/>
      <c r="D244" s="1074"/>
      <c r="E244" s="1074"/>
      <c r="F244" s="1067">
        <v>0.05</v>
      </c>
    </row>
    <row r="245" spans="1:6" ht="15" thickBot="1">
      <c r="A245" s="837" t="s">
        <v>530</v>
      </c>
      <c r="B245" s="838" t="s">
        <v>966</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967</v>
      </c>
      <c r="C247" s="1064">
        <v>0.15</v>
      </c>
      <c r="D247" s="1064">
        <v>0.15</v>
      </c>
      <c r="E247" s="1064">
        <v>0.15</v>
      </c>
      <c r="F247" s="1065">
        <v>0.15</v>
      </c>
    </row>
    <row r="248" spans="1:6" ht="15" thickBot="1">
      <c r="A248" s="837" t="s">
        <v>530</v>
      </c>
      <c r="B248" s="831" t="s">
        <v>968</v>
      </c>
      <c r="C248" s="1064">
        <v>0.15</v>
      </c>
      <c r="D248" s="1064">
        <v>0.15</v>
      </c>
      <c r="E248" s="1064">
        <v>0.15</v>
      </c>
      <c r="F248" s="1065">
        <v>0.14000000000000001</v>
      </c>
    </row>
    <row r="249" spans="1:6" ht="15" thickBot="1">
      <c r="A249" s="837" t="s">
        <v>530</v>
      </c>
      <c r="B249" s="831" t="s">
        <v>969</v>
      </c>
      <c r="C249" s="1064">
        <v>0.15</v>
      </c>
      <c r="D249" s="1064">
        <v>0.14899999999999999</v>
      </c>
      <c r="E249" s="1064">
        <v>0.15</v>
      </c>
      <c r="F249" s="1065">
        <v>0.1</v>
      </c>
    </row>
    <row r="250" spans="1:6" ht="15" thickBot="1">
      <c r="A250" s="837" t="s">
        <v>530</v>
      </c>
      <c r="B250" s="831" t="s">
        <v>970</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971</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972</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973</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974</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975</v>
      </c>
      <c r="C273" s="1064">
        <v>0.14199999999999999</v>
      </c>
      <c r="D273" s="1064">
        <v>0.14299999999999999</v>
      </c>
      <c r="E273" s="1064">
        <v>0.15</v>
      </c>
      <c r="F273" s="1065">
        <v>0.1</v>
      </c>
    </row>
    <row r="274" spans="1:6" ht="15" thickBot="1">
      <c r="A274" s="837" t="s">
        <v>530</v>
      </c>
      <c r="B274" s="831" t="s">
        <v>976</v>
      </c>
      <c r="C274" s="1064">
        <v>0.14799999999999999</v>
      </c>
      <c r="D274" s="1064">
        <v>0.14799999999999999</v>
      </c>
      <c r="E274" s="1064">
        <v>0.15</v>
      </c>
      <c r="F274" s="1065">
        <v>6.7000000000000004E-2</v>
      </c>
    </row>
    <row r="275" spans="1:6" ht="15" thickBot="1">
      <c r="A275" s="837" t="s">
        <v>530</v>
      </c>
      <c r="B275" s="831" t="s">
        <v>977</v>
      </c>
      <c r="C275" s="1064">
        <v>0.15</v>
      </c>
      <c r="D275" s="1064">
        <v>0.15</v>
      </c>
      <c r="E275" s="1064">
        <v>0.15</v>
      </c>
      <c r="F275" s="1065">
        <v>0.15</v>
      </c>
    </row>
    <row r="276" spans="1:6" ht="15" thickBot="1">
      <c r="A276" s="837" t="s">
        <v>530</v>
      </c>
      <c r="B276" s="831" t="s">
        <v>978</v>
      </c>
      <c r="C276" s="1064">
        <v>0.14499999999999999</v>
      </c>
      <c r="D276" s="1064">
        <v>0.14299999999999999</v>
      </c>
      <c r="E276" s="1064">
        <v>0.15</v>
      </c>
      <c r="F276" s="1065">
        <v>5.8999999999999997E-2</v>
      </c>
    </row>
    <row r="277" spans="1:6" ht="15" thickBot="1">
      <c r="A277" s="837" t="s">
        <v>530</v>
      </c>
      <c r="B277" s="831" t="s">
        <v>979</v>
      </c>
      <c r="C277" s="1064">
        <v>0.15</v>
      </c>
      <c r="D277" s="1064">
        <v>0.15</v>
      </c>
      <c r="E277" s="1064">
        <v>0.15</v>
      </c>
      <c r="F277" s="1065">
        <v>0.121</v>
      </c>
    </row>
    <row r="278" spans="1:6" ht="15" thickBot="1">
      <c r="A278" s="837" t="s">
        <v>530</v>
      </c>
      <c r="B278" s="831" t="s">
        <v>980</v>
      </c>
      <c r="C278" s="1064">
        <v>0.15</v>
      </c>
      <c r="D278" s="1064">
        <v>0.15</v>
      </c>
      <c r="E278" s="1064">
        <v>0.15</v>
      </c>
      <c r="F278" s="1065">
        <v>0.13800000000000001</v>
      </c>
    </row>
    <row r="279" spans="1:6" ht="24.6" thickBot="1">
      <c r="A279" s="837" t="s">
        <v>530</v>
      </c>
      <c r="B279" s="831" t="s">
        <v>981</v>
      </c>
      <c r="C279" s="1077"/>
      <c r="D279" s="1077"/>
      <c r="E279" s="1077"/>
      <c r="F279" s="1065">
        <v>0.05</v>
      </c>
    </row>
    <row r="280" spans="1:6" ht="24.6" thickBot="1">
      <c r="A280" s="837" t="s">
        <v>530</v>
      </c>
      <c r="B280" s="831" t="s">
        <v>982</v>
      </c>
      <c r="C280" s="1077"/>
      <c r="D280" s="1077"/>
      <c r="E280" s="1077"/>
      <c r="F280" s="1065">
        <v>0.05</v>
      </c>
    </row>
    <row r="281" spans="1:6" ht="24.6" thickBot="1">
      <c r="A281" s="837" t="s">
        <v>530</v>
      </c>
      <c r="B281" s="831" t="s">
        <v>983</v>
      </c>
      <c r="C281" s="1077"/>
      <c r="D281" s="1077"/>
      <c r="E281" s="1077"/>
      <c r="F281" s="1065">
        <v>0.05</v>
      </c>
    </row>
    <row r="282" spans="1:6" ht="24.6" thickBot="1">
      <c r="A282" s="837" t="s">
        <v>530</v>
      </c>
      <c r="B282" s="831" t="s">
        <v>984</v>
      </c>
      <c r="C282" s="1077"/>
      <c r="D282" s="1077"/>
      <c r="E282" s="1077"/>
      <c r="F282" s="1065">
        <v>0.05</v>
      </c>
    </row>
    <row r="283" spans="1:6" ht="24.6" thickBot="1">
      <c r="A283" s="837" t="s">
        <v>530</v>
      </c>
      <c r="B283" s="831" t="s">
        <v>985</v>
      </c>
      <c r="C283" s="1077"/>
      <c r="D283" s="1077"/>
      <c r="E283" s="1077"/>
      <c r="F283" s="1065">
        <v>0.05</v>
      </c>
    </row>
    <row r="284" spans="1:6" ht="24.6" thickBot="1">
      <c r="A284" s="837" t="s">
        <v>530</v>
      </c>
      <c r="B284" s="831" t="s">
        <v>986</v>
      </c>
      <c r="C284" s="1077"/>
      <c r="D284" s="1077"/>
      <c r="E284" s="1077"/>
      <c r="F284" s="1065">
        <v>0.05</v>
      </c>
    </row>
    <row r="285" spans="1:6" ht="24.6" thickBot="1">
      <c r="A285" s="837" t="s">
        <v>530</v>
      </c>
      <c r="B285" s="831" t="s">
        <v>987</v>
      </c>
      <c r="C285" s="1077"/>
      <c r="D285" s="1077"/>
      <c r="E285" s="1077"/>
      <c r="F285" s="1065">
        <v>0.05</v>
      </c>
    </row>
    <row r="286" spans="1:6" ht="24.6" thickBot="1">
      <c r="A286" s="837" t="s">
        <v>530</v>
      </c>
      <c r="B286" s="831" t="s">
        <v>988</v>
      </c>
      <c r="C286" s="1077"/>
      <c r="D286" s="1077"/>
      <c r="E286" s="1077"/>
      <c r="F286" s="1065">
        <v>0.05</v>
      </c>
    </row>
    <row r="287" spans="1:6" ht="24.6" thickBot="1">
      <c r="A287" s="837" t="s">
        <v>530</v>
      </c>
      <c r="B287" s="831" t="s">
        <v>989</v>
      </c>
      <c r="C287" s="1077"/>
      <c r="D287" s="1077"/>
      <c r="E287" s="1077"/>
      <c r="F287" s="1065">
        <v>0.05</v>
      </c>
    </row>
    <row r="288" spans="1:6" ht="24.6" thickBot="1">
      <c r="A288" s="837" t="s">
        <v>530</v>
      </c>
      <c r="B288" s="831" t="s">
        <v>990</v>
      </c>
      <c r="C288" s="1077"/>
      <c r="D288" s="1077"/>
      <c r="E288" s="1077"/>
      <c r="F288" s="1065">
        <v>0.05</v>
      </c>
    </row>
    <row r="289" spans="1:6" ht="24.6" thickBot="1">
      <c r="A289" s="847" t="s">
        <v>530</v>
      </c>
      <c r="B289" s="843" t="s">
        <v>991</v>
      </c>
      <c r="C289" s="1074"/>
      <c r="D289" s="1074"/>
      <c r="E289" s="1074"/>
      <c r="F289" s="1067">
        <v>0.05</v>
      </c>
    </row>
    <row r="290" spans="1:6" ht="15" thickBot="1">
      <c r="A290" s="837" t="s">
        <v>534</v>
      </c>
      <c r="B290" s="838" t="s">
        <v>992</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993</v>
      </c>
      <c r="C292" s="1064">
        <v>0.15</v>
      </c>
      <c r="D292" s="1064">
        <v>0.15</v>
      </c>
      <c r="E292" s="1064">
        <v>0.15</v>
      </c>
      <c r="F292" s="1065">
        <v>0.14699999999999999</v>
      </c>
    </row>
    <row r="293" spans="1:6" ht="15" thickBot="1">
      <c r="A293" s="837" t="s">
        <v>534</v>
      </c>
      <c r="B293" s="831" t="s">
        <v>994</v>
      </c>
      <c r="C293" s="1077"/>
      <c r="D293" s="1077"/>
      <c r="E293" s="1077"/>
      <c r="F293" s="1065">
        <v>0.1</v>
      </c>
    </row>
    <row r="294" spans="1:6" ht="15" thickBot="1">
      <c r="A294" s="837" t="s">
        <v>534</v>
      </c>
      <c r="B294" s="831" t="s">
        <v>995</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996</v>
      </c>
      <c r="C296" s="1064">
        <v>0.15</v>
      </c>
      <c r="D296" s="1064">
        <v>0.15</v>
      </c>
      <c r="E296" s="1064">
        <v>0.15</v>
      </c>
      <c r="F296" s="1065">
        <v>0.15</v>
      </c>
    </row>
    <row r="297" spans="1:6" ht="15" thickBot="1">
      <c r="A297" s="837" t="s">
        <v>534</v>
      </c>
      <c r="B297" s="831" t="s">
        <v>997</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998</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999</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1000</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1001</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1002</v>
      </c>
      <c r="C310" s="1064">
        <v>0.15</v>
      </c>
      <c r="D310" s="1064">
        <v>0.15</v>
      </c>
      <c r="E310" s="1064">
        <v>0.15</v>
      </c>
      <c r="F310" s="1065">
        <v>0.13700000000000001</v>
      </c>
    </row>
    <row r="311" spans="1:6" ht="15" thickBot="1">
      <c r="A311" s="837" t="s">
        <v>534</v>
      </c>
      <c r="B311" s="831" t="s">
        <v>1003</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1004</v>
      </c>
      <c r="C313" s="1064">
        <v>0.15</v>
      </c>
      <c r="D313" s="1064">
        <v>0.15</v>
      </c>
      <c r="E313" s="1064">
        <v>0.15</v>
      </c>
      <c r="F313" s="1065">
        <v>0.15</v>
      </c>
    </row>
    <row r="314" spans="1:6" ht="24.6" thickBot="1">
      <c r="A314" s="837" t="s">
        <v>534</v>
      </c>
      <c r="B314" s="831" t="s">
        <v>1005</v>
      </c>
      <c r="C314" s="1077"/>
      <c r="D314" s="1077"/>
      <c r="E314" s="1077"/>
      <c r="F314" s="1065">
        <v>0.05</v>
      </c>
    </row>
    <row r="315" spans="1:6" ht="24.6" thickBot="1">
      <c r="A315" s="837" t="s">
        <v>534</v>
      </c>
      <c r="B315" s="831" t="s">
        <v>1006</v>
      </c>
      <c r="C315" s="1077"/>
      <c r="D315" s="1077"/>
      <c r="E315" s="1077"/>
      <c r="F315" s="1065">
        <v>0.05</v>
      </c>
    </row>
    <row r="316" spans="1:6" ht="24.6" thickBot="1">
      <c r="A316" s="847" t="s">
        <v>534</v>
      </c>
      <c r="B316" s="843" t="s">
        <v>1007</v>
      </c>
      <c r="C316" s="1074"/>
      <c r="D316" s="1074"/>
      <c r="E316" s="1074"/>
      <c r="F316" s="1067">
        <v>0.05</v>
      </c>
    </row>
    <row r="317" spans="1:6" ht="15" thickBot="1">
      <c r="A317" s="837" t="s">
        <v>1008</v>
      </c>
      <c r="B317" s="838" t="s">
        <v>1009</v>
      </c>
      <c r="C317" s="1062">
        <v>0.15</v>
      </c>
      <c r="D317" s="1062">
        <v>0.15</v>
      </c>
      <c r="E317" s="1062">
        <v>0.15</v>
      </c>
      <c r="F317" s="1063">
        <v>0.15</v>
      </c>
    </row>
    <row r="318" spans="1:6" ht="15" thickBot="1">
      <c r="A318" s="837" t="s">
        <v>1008</v>
      </c>
      <c r="B318" s="831" t="s">
        <v>1010</v>
      </c>
      <c r="C318" s="1064">
        <v>0.107</v>
      </c>
      <c r="D318" s="1064">
        <v>0.11</v>
      </c>
      <c r="E318" s="1064">
        <v>0.112</v>
      </c>
      <c r="F318" s="1076"/>
    </row>
    <row r="319" spans="1:6" ht="15" thickBot="1">
      <c r="A319" s="837" t="s">
        <v>1008</v>
      </c>
      <c r="B319" s="831" t="s">
        <v>1011</v>
      </c>
      <c r="C319" s="1064">
        <v>0.15</v>
      </c>
      <c r="D319" s="1064">
        <v>0.15</v>
      </c>
      <c r="E319" s="1064">
        <v>0.15</v>
      </c>
      <c r="F319" s="1065">
        <v>0.15</v>
      </c>
    </row>
    <row r="320" spans="1:6" ht="15" thickBot="1">
      <c r="A320" s="837" t="s">
        <v>1008</v>
      </c>
      <c r="B320" s="831" t="s">
        <v>223</v>
      </c>
      <c r="C320" s="1064">
        <v>0.15</v>
      </c>
      <c r="D320" s="1064">
        <v>0.15</v>
      </c>
      <c r="E320" s="1064">
        <v>0.15</v>
      </c>
      <c r="F320" s="1076"/>
    </row>
    <row r="321" spans="1:6" ht="15" thickBot="1">
      <c r="A321" s="837" t="s">
        <v>1008</v>
      </c>
      <c r="B321" s="831" t="s">
        <v>1012</v>
      </c>
      <c r="C321" s="1064">
        <v>0.15</v>
      </c>
      <c r="D321" s="1064">
        <v>0.15</v>
      </c>
      <c r="E321" s="1064">
        <v>0.15</v>
      </c>
      <c r="F321" s="1076"/>
    </row>
    <row r="322" spans="1:6" ht="15" thickBot="1">
      <c r="A322" s="837" t="s">
        <v>1008</v>
      </c>
      <c r="B322" s="831" t="s">
        <v>1013</v>
      </c>
      <c r="C322" s="1064">
        <v>0.15</v>
      </c>
      <c r="D322" s="1064">
        <v>0.15</v>
      </c>
      <c r="E322" s="1064">
        <v>0.15</v>
      </c>
      <c r="F322" s="1065">
        <v>0.15</v>
      </c>
    </row>
    <row r="323" spans="1:6" ht="15" thickBot="1">
      <c r="A323" s="837" t="s">
        <v>1008</v>
      </c>
      <c r="B323" s="831" t="s">
        <v>1014</v>
      </c>
      <c r="C323" s="1064">
        <v>0.15</v>
      </c>
      <c r="D323" s="1064">
        <v>0.15</v>
      </c>
      <c r="E323" s="1064">
        <v>0.15</v>
      </c>
      <c r="F323" s="1076"/>
    </row>
    <row r="324" spans="1:6" ht="15" thickBot="1">
      <c r="A324" s="837" t="s">
        <v>1008</v>
      </c>
      <c r="B324" s="831" t="s">
        <v>1015</v>
      </c>
      <c r="C324" s="1064">
        <v>0.15</v>
      </c>
      <c r="D324" s="1064">
        <v>0.15</v>
      </c>
      <c r="E324" s="1064">
        <v>0.15</v>
      </c>
      <c r="F324" s="1076"/>
    </row>
    <row r="325" spans="1:6" ht="15" thickBot="1">
      <c r="A325" s="837" t="s">
        <v>1008</v>
      </c>
      <c r="B325" s="831" t="s">
        <v>1016</v>
      </c>
      <c r="C325" s="1064">
        <v>0.15</v>
      </c>
      <c r="D325" s="1064">
        <v>0.15</v>
      </c>
      <c r="E325" s="1064">
        <v>0.15</v>
      </c>
      <c r="F325" s="1065">
        <v>0.14699999999999999</v>
      </c>
    </row>
    <row r="326" spans="1:6" ht="15" thickBot="1">
      <c r="A326" s="837" t="s">
        <v>1008</v>
      </c>
      <c r="B326" s="831" t="s">
        <v>290</v>
      </c>
      <c r="C326" s="1064">
        <v>0.15</v>
      </c>
      <c r="D326" s="1064">
        <v>0.15</v>
      </c>
      <c r="E326" s="1064">
        <v>0.15</v>
      </c>
      <c r="F326" s="1076"/>
    </row>
    <row r="327" spans="1:6" ht="15" thickBot="1">
      <c r="A327" s="837" t="s">
        <v>1008</v>
      </c>
      <c r="B327" s="831" t="s">
        <v>1017</v>
      </c>
      <c r="C327" s="1064">
        <v>0.15</v>
      </c>
      <c r="D327" s="1064">
        <v>0.15</v>
      </c>
      <c r="E327" s="1064">
        <v>0.15</v>
      </c>
      <c r="F327" s="1065">
        <v>0.15</v>
      </c>
    </row>
    <row r="328" spans="1:6" ht="15" thickBot="1">
      <c r="A328" s="837" t="s">
        <v>1008</v>
      </c>
      <c r="B328" s="831" t="s">
        <v>310</v>
      </c>
      <c r="C328" s="1064">
        <v>0.15</v>
      </c>
      <c r="D328" s="1064">
        <v>0.15</v>
      </c>
      <c r="E328" s="1064">
        <v>0.15</v>
      </c>
      <c r="F328" s="1065">
        <v>0.14099999999999999</v>
      </c>
    </row>
    <row r="329" spans="1:6" ht="15" thickBot="1">
      <c r="A329" s="837" t="s">
        <v>1008</v>
      </c>
      <c r="B329" s="831" t="s">
        <v>320</v>
      </c>
      <c r="C329" s="1064">
        <v>0.15</v>
      </c>
      <c r="D329" s="1064">
        <v>0.15</v>
      </c>
      <c r="E329" s="1064">
        <v>0.15</v>
      </c>
      <c r="F329" s="1065">
        <v>0.15</v>
      </c>
    </row>
    <row r="330" spans="1:6" ht="15" thickBot="1">
      <c r="A330" s="837" t="s">
        <v>1008</v>
      </c>
      <c r="B330" s="831" t="s">
        <v>331</v>
      </c>
      <c r="C330" s="1064">
        <v>0.15</v>
      </c>
      <c r="D330" s="1064">
        <v>0.15</v>
      </c>
      <c r="E330" s="1064">
        <v>0.15</v>
      </c>
      <c r="F330" s="1076"/>
    </row>
    <row r="331" spans="1:6" ht="15" thickBot="1">
      <c r="A331" s="837" t="s">
        <v>1008</v>
      </c>
      <c r="B331" s="831" t="s">
        <v>1018</v>
      </c>
      <c r="C331" s="1064">
        <v>0.15</v>
      </c>
      <c r="D331" s="1064">
        <v>0.15</v>
      </c>
      <c r="E331" s="1064">
        <v>0.15</v>
      </c>
      <c r="F331" s="1065">
        <v>0.15</v>
      </c>
    </row>
    <row r="332" spans="1:6" ht="15" thickBot="1">
      <c r="A332" s="837" t="s">
        <v>1008</v>
      </c>
      <c r="B332" s="831" t="s">
        <v>352</v>
      </c>
      <c r="C332" s="1064">
        <v>0.15</v>
      </c>
      <c r="D332" s="1064">
        <v>0.15</v>
      </c>
      <c r="E332" s="1064">
        <v>0.15</v>
      </c>
      <c r="F332" s="1065">
        <v>0.15</v>
      </c>
    </row>
    <row r="333" spans="1:6" ht="15" thickBot="1">
      <c r="A333" s="837" t="s">
        <v>1008</v>
      </c>
      <c r="B333" s="831" t="s">
        <v>1019</v>
      </c>
      <c r="C333" s="1064">
        <v>0.15</v>
      </c>
      <c r="D333" s="1064">
        <v>0.15</v>
      </c>
      <c r="E333" s="1064">
        <v>0.15</v>
      </c>
      <c r="F333" s="1065">
        <v>0.14099999999999999</v>
      </c>
    </row>
    <row r="334" spans="1:6" ht="15" thickBot="1">
      <c r="A334" s="837" t="s">
        <v>1008</v>
      </c>
      <c r="B334" s="831" t="s">
        <v>372</v>
      </c>
      <c r="C334" s="1064">
        <v>0.15</v>
      </c>
      <c r="D334" s="1064">
        <v>0.15</v>
      </c>
      <c r="E334" s="1064">
        <v>0.15</v>
      </c>
      <c r="F334" s="1065">
        <v>0.15</v>
      </c>
    </row>
    <row r="335" spans="1:6" ht="15" thickBot="1">
      <c r="A335" s="837" t="s">
        <v>1008</v>
      </c>
      <c r="B335" s="831" t="s">
        <v>382</v>
      </c>
      <c r="C335" s="1064">
        <v>0.15</v>
      </c>
      <c r="D335" s="1064">
        <v>0.15</v>
      </c>
      <c r="E335" s="1064">
        <v>0.15</v>
      </c>
      <c r="F335" s="1076"/>
    </row>
    <row r="336" spans="1:6" ht="15" thickBot="1">
      <c r="A336" s="837" t="s">
        <v>1008</v>
      </c>
      <c r="B336" s="831" t="s">
        <v>1020</v>
      </c>
      <c r="C336" s="1064">
        <v>0.15</v>
      </c>
      <c r="D336" s="1064">
        <v>0.15</v>
      </c>
      <c r="E336" s="1064">
        <v>0.15</v>
      </c>
      <c r="F336" s="1065">
        <v>0.11799999999999999</v>
      </c>
    </row>
    <row r="337" spans="1:6" ht="15" thickBot="1">
      <c r="A337" s="847" t="s">
        <v>1008</v>
      </c>
      <c r="B337" s="843" t="s">
        <v>400</v>
      </c>
      <c r="C337" s="1074"/>
      <c r="D337" s="1074"/>
      <c r="E337" s="1074"/>
      <c r="F337" s="1067">
        <v>0.14299999999999999</v>
      </c>
    </row>
    <row r="338" spans="1:6" ht="15" thickBot="1">
      <c r="A338" s="837" t="s">
        <v>1021</v>
      </c>
      <c r="B338" s="838" t="s">
        <v>1022</v>
      </c>
      <c r="C338" s="1062">
        <v>0.15</v>
      </c>
      <c r="D338" s="1062">
        <v>0.15</v>
      </c>
      <c r="E338" s="1062">
        <v>0.15</v>
      </c>
      <c r="F338" s="1079"/>
    </row>
    <row r="339" spans="1:6" ht="15" thickBot="1">
      <c r="A339" s="837" t="s">
        <v>1021</v>
      </c>
      <c r="B339" s="831" t="s">
        <v>1023</v>
      </c>
      <c r="C339" s="1064">
        <v>0.15</v>
      </c>
      <c r="D339" s="1064">
        <v>0.15</v>
      </c>
      <c r="E339" s="1064">
        <v>0.15</v>
      </c>
      <c r="F339" s="1076"/>
    </row>
    <row r="340" spans="1:6" ht="15" thickBot="1">
      <c r="A340" s="837" t="s">
        <v>1021</v>
      </c>
      <c r="B340" s="831" t="s">
        <v>1024</v>
      </c>
      <c r="C340" s="1064">
        <v>0.15</v>
      </c>
      <c r="D340" s="1064">
        <v>0.15</v>
      </c>
      <c r="E340" s="1064">
        <v>0.15</v>
      </c>
      <c r="F340" s="1076"/>
    </row>
    <row r="341" spans="1:6" ht="15" thickBot="1">
      <c r="A341" s="837" t="s">
        <v>1021</v>
      </c>
      <c r="B341" s="831" t="s">
        <v>1025</v>
      </c>
      <c r="C341" s="1064">
        <v>0.15</v>
      </c>
      <c r="D341" s="1064">
        <v>0.15</v>
      </c>
      <c r="E341" s="1064">
        <v>0.15</v>
      </c>
      <c r="F341" s="1065">
        <v>0.15</v>
      </c>
    </row>
    <row r="342" spans="1:6" ht="15" thickBot="1">
      <c r="A342" s="837" t="s">
        <v>1021</v>
      </c>
      <c r="B342" s="831" t="s">
        <v>1026</v>
      </c>
      <c r="C342" s="1064">
        <v>0.15</v>
      </c>
      <c r="D342" s="1064">
        <v>0.15</v>
      </c>
      <c r="E342" s="1064">
        <v>0.15</v>
      </c>
      <c r="F342" s="1065">
        <v>0.15</v>
      </c>
    </row>
    <row r="343" spans="1:6" ht="15" thickBot="1">
      <c r="A343" s="837" t="s">
        <v>1021</v>
      </c>
      <c r="B343" s="831" t="s">
        <v>1027</v>
      </c>
      <c r="C343" s="1064">
        <v>0.15</v>
      </c>
      <c r="D343" s="1064">
        <v>0.15</v>
      </c>
      <c r="E343" s="1064">
        <v>0.15</v>
      </c>
      <c r="F343" s="1065">
        <v>0.15</v>
      </c>
    </row>
    <row r="344" spans="1:6" ht="1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1300</v>
      </c>
      <c r="C1" s="1692">
        <f>项目基本情况!D3</f>
        <v>43342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1372</v>
      </c>
      <c r="E1" s="1774" t="s">
        <v>1376</v>
      </c>
      <c r="F1" s="1775" t="s">
        <v>1380</v>
      </c>
    </row>
    <row r="2" spans="1:13" ht="19.8">
      <c r="A2" s="1781" t="s">
        <v>1373</v>
      </c>
    </row>
    <row r="3" spans="1:13" ht="15.6">
      <c r="A3" s="1782" t="s">
        <v>1374</v>
      </c>
    </row>
    <row r="4" spans="1:13">
      <c r="A4" s="1772" t="s">
        <v>1375</v>
      </c>
      <c r="B4" s="1777" t="s">
        <v>1377</v>
      </c>
      <c r="C4" s="1778"/>
      <c r="D4" s="1779"/>
      <c r="E4" s="1777" t="s">
        <v>27</v>
      </c>
      <c r="F4" s="1778"/>
      <c r="G4" s="1779"/>
      <c r="H4" s="1777" t="s">
        <v>1378</v>
      </c>
      <c r="I4" s="1778"/>
      <c r="J4" s="1779"/>
      <c r="K4" s="1777" t="s">
        <v>6</v>
      </c>
      <c r="L4" s="1778"/>
      <c r="M4" s="1779"/>
    </row>
    <row r="5" spans="1:13">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1641</v>
      </c>
      <c r="B2" s="2991" t="s">
        <v>1642</v>
      </c>
      <c r="C2" s="2991" t="s">
        <v>1643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6">
      <c r="A3" s="2985"/>
      <c r="B3" s="2985"/>
      <c r="C3" s="2985"/>
      <c r="D3" s="1044" t="s">
        <v>1638</v>
      </c>
      <c r="E3" s="1044" t="s">
        <v>1644</v>
      </c>
      <c r="F3" s="1044" t="s">
        <v>1638</v>
      </c>
      <c r="G3" s="1044" t="s">
        <v>1639</v>
      </c>
      <c r="H3" s="1044" t="s">
        <v>1638</v>
      </c>
      <c r="I3" s="1044" t="s">
        <v>1639</v>
      </c>
    </row>
    <row r="4" spans="1:9" ht="60">
      <c r="A4" s="1971" t="str">
        <f>项目基本情况!S2</f>
        <v>广西自治区叠彩区站前路以北、春江路以东、漓江以西出让国有建设用地使用权及在建建筑物房地产</v>
      </c>
      <c r="B4" s="1044">
        <f>项目基本情况!C17</f>
        <v>49782.53</v>
      </c>
      <c r="C4" s="1044">
        <f>项目基本情况!C18</f>
        <v>28191.57</v>
      </c>
      <c r="D4" s="1044">
        <f ca="1">结果表!D118</f>
        <v>15414</v>
      </c>
      <c r="E4" s="1044">
        <f ca="1">结果表!E118</f>
        <v>3096</v>
      </c>
      <c r="F4" s="1044">
        <f ca="1">结果表!F118</f>
        <v>20021</v>
      </c>
      <c r="G4" s="1044">
        <f ca="1">结果表!G118</f>
        <v>4022</v>
      </c>
      <c r="H4" s="1044">
        <f ca="1">结果表!H118</f>
        <v>35435</v>
      </c>
      <c r="I4" s="1044">
        <f ca="1">结果表!I118</f>
        <v>7118</v>
      </c>
    </row>
    <row r="5" spans="1:9" ht="30" customHeight="1">
      <c r="A5" s="2985" t="s">
        <v>1640</v>
      </c>
      <c r="B5" s="2985"/>
      <c r="C5" s="2985"/>
      <c r="D5" s="2986" t="str">
        <f ca="1">结果表!D119</f>
        <v>壹亿伍仟肆佰壹拾肆万元整</v>
      </c>
      <c r="E5" s="2986"/>
      <c r="F5" s="2986" t="str">
        <f ca="1">结果表!F119</f>
        <v>贰亿零贰拾壹万元整</v>
      </c>
      <c r="G5" s="2986"/>
      <c r="H5" s="2986" t="str">
        <f ca="1">结果表!H119</f>
        <v>叁亿伍仟肆佰叁拾伍万元整</v>
      </c>
      <c r="I5" s="2986"/>
    </row>
    <row r="6" spans="1:9" ht="15.6">
      <c r="A6" s="2984" t="str">
        <f>结果表!A120</f>
        <v>估价师知悉的法定优先受偿款</v>
      </c>
      <c r="B6" s="2984"/>
      <c r="C6" s="2984"/>
      <c r="D6" s="2984">
        <f>结果表!D120</f>
        <v>0</v>
      </c>
      <c r="E6" s="2984"/>
      <c r="F6" s="2984"/>
      <c r="G6" s="2984"/>
      <c r="H6" s="2984"/>
      <c r="I6" s="2984"/>
    </row>
    <row r="7" spans="1:9" ht="15">
      <c r="A7" s="2985" t="s">
        <v>1640</v>
      </c>
      <c r="B7" s="2985"/>
      <c r="C7" s="2985"/>
      <c r="D7" s="2987" t="str">
        <f>结果表!D121</f>
        <v>零元整</v>
      </c>
      <c r="E7" s="2988"/>
      <c r="F7" s="2988"/>
      <c r="G7" s="2988"/>
      <c r="H7" s="2988"/>
      <c r="I7" s="2989"/>
    </row>
    <row r="8" spans="1:9" ht="15.6">
      <c r="A8" s="2984" t="str">
        <f>结果表!A122</f>
        <v>房地产抵押价值</v>
      </c>
      <c r="B8" s="2984"/>
      <c r="C8" s="2984"/>
      <c r="D8" s="2984">
        <f ca="1">结果表!D122</f>
        <v>35435</v>
      </c>
      <c r="E8" s="2984"/>
      <c r="F8" s="2984"/>
      <c r="G8" s="2984"/>
      <c r="H8" s="2984"/>
      <c r="I8" s="2984"/>
    </row>
    <row r="9" spans="1:9" ht="15">
      <c r="A9" s="2985" t="s">
        <v>1640</v>
      </c>
      <c r="B9" s="2985"/>
      <c r="C9" s="2985"/>
      <c r="D9" s="2986" t="str">
        <f ca="1">结果表!D123</f>
        <v>叁亿伍仟肆佰叁拾伍万元整</v>
      </c>
      <c r="E9" s="2986"/>
      <c r="F9" s="2986"/>
      <c r="G9" s="2986"/>
      <c r="H9" s="2986"/>
      <c r="I9" s="2986"/>
    </row>
    <row r="10" spans="1:9" ht="15.6">
      <c r="A10" s="2984" t="str">
        <f>结果表!A124</f>
        <v/>
      </c>
      <c r="B10" s="2984"/>
      <c r="C10" s="2984"/>
      <c r="D10" s="2984" t="str">
        <f>结果表!D124</f>
        <v>——</v>
      </c>
      <c r="E10" s="2984"/>
      <c r="F10" s="2984"/>
      <c r="G10" s="2984"/>
      <c r="H10" s="2984"/>
      <c r="I10" s="2984"/>
    </row>
    <row r="11" spans="1:9" ht="15">
      <c r="A11" s="2985" t="s">
        <v>1640</v>
      </c>
      <c r="B11" s="2985"/>
      <c r="C11" s="2985"/>
      <c r="D11" s="2986" t="e">
        <f>结果表!D125</f>
        <v>#VALUE!</v>
      </c>
      <c r="E11" s="2986"/>
      <c r="F11" s="2986"/>
      <c r="G11" s="2986"/>
      <c r="H11" s="2986"/>
      <c r="I11" s="2986"/>
    </row>
    <row r="12" spans="1:9" ht="15.6">
      <c r="A12" s="2984" t="str">
        <f>结果表!A126</f>
        <v/>
      </c>
      <c r="B12" s="2984"/>
      <c r="C12" s="2984"/>
      <c r="D12" s="2984" t="str">
        <f>结果表!D126</f>
        <v>——</v>
      </c>
      <c r="E12" s="2984"/>
      <c r="F12" s="2984"/>
      <c r="G12" s="2984"/>
      <c r="H12" s="2984"/>
      <c r="I12" s="2984"/>
    </row>
    <row r="13" spans="1:9" ht="15.6" thickBot="1">
      <c r="A13" s="2981" t="s">
        <v>1640</v>
      </c>
      <c r="B13" s="2981"/>
      <c r="C13" s="2981"/>
      <c r="D13" s="2982" t="e">
        <f>结果表!D127</f>
        <v>#VALUE!</v>
      </c>
      <c r="E13" s="2982"/>
      <c r="F13" s="2982"/>
      <c r="G13" s="2982"/>
      <c r="H13" s="2982"/>
      <c r="I13" s="2982"/>
    </row>
    <row r="14" spans="1:9" ht="14.4" thickTop="1">
      <c r="A14" s="2983" t="s">
        <v>1645</v>
      </c>
      <c r="B14" s="2983"/>
      <c r="C14" s="2983"/>
      <c r="D14" s="2983"/>
      <c r="E14" s="2983"/>
      <c r="F14" s="2983"/>
      <c r="G14" s="2983"/>
      <c r="H14" s="2983"/>
      <c r="I14" s="2983"/>
    </row>
    <row r="16" spans="1:9" ht="17.399999999999999">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98" t="s">
        <v>1662</v>
      </c>
      <c r="B1" s="2998"/>
      <c r="C1" s="2998"/>
      <c r="D1" s="2998"/>
    </row>
    <row r="2" spans="1:4" ht="17.399999999999999">
      <c r="A2" s="2999" t="s">
        <v>1646</v>
      </c>
      <c r="B2" s="2999"/>
      <c r="C2" s="2999"/>
      <c r="D2" s="2999"/>
    </row>
    <row r="3" spans="1:4" ht="17.399999999999999">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崔锴</v>
      </c>
      <c r="B5" s="1977">
        <f ca="1">项目基本情况!E4</f>
        <v>1120100036</v>
      </c>
      <c r="C5" s="1980"/>
      <c r="D5" s="1979" t="s">
        <v>1651</v>
      </c>
    </row>
    <row r="6" spans="1:4" ht="17.399999999999999">
      <c r="A6" s="2999" t="s">
        <v>1652</v>
      </c>
      <c r="B6" s="2999"/>
      <c r="C6" s="2999"/>
      <c r="D6" s="2999"/>
    </row>
    <row r="7" spans="1:4" ht="17.399999999999999">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7.399999999999999">
      <c r="A10" s="1982" t="s">
        <v>1654</v>
      </c>
      <c r="B10" s="728"/>
      <c r="C10" s="728"/>
      <c r="D10" s="728"/>
    </row>
    <row r="11" spans="1:4" ht="30" customHeight="1">
      <c r="A11" s="3000" t="s">
        <v>1655</v>
      </c>
      <c r="B11" s="2992"/>
      <c r="C11" s="2992"/>
      <c r="D11" s="2992"/>
    </row>
    <row r="12" spans="1:4" ht="15.6">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1656</v>
      </c>
      <c r="B16" s="2994"/>
      <c r="C16" s="2994"/>
      <c r="D16" s="2994"/>
    </row>
    <row r="17" spans="1:4" ht="144" customHeight="1">
      <c r="A17" s="2994" t="s">
        <v>1657</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1658</v>
      </c>
      <c r="B22" s="2996"/>
      <c r="C22" s="2996"/>
      <c r="D22" s="2996"/>
    </row>
    <row r="23" spans="1:4">
      <c r="A23" s="1983"/>
      <c r="B23" s="1955"/>
      <c r="C23" s="1955"/>
      <c r="D23" s="1955"/>
    </row>
    <row r="24" spans="1:4">
      <c r="A24" s="1983"/>
      <c r="B24" s="1955"/>
      <c r="C24" s="1955"/>
      <c r="D24" s="1955"/>
    </row>
    <row r="25" spans="1:4" ht="17.399999999999999">
      <c r="A25" s="1984" t="s">
        <v>1659</v>
      </c>
    </row>
    <row r="26" spans="1:4" ht="17.399999999999999">
      <c r="A26" s="1953"/>
    </row>
    <row r="27" spans="1:4" ht="17.399999999999999">
      <c r="A27" s="1953" t="s">
        <v>1660</v>
      </c>
    </row>
    <row r="30" spans="1:4" ht="17.399999999999999">
      <c r="D30" s="1984" t="s">
        <v>1661</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870</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4.4">
      <c r="A15" s="3006" t="s">
        <v>1669</v>
      </c>
      <c r="B15" s="3001" t="s">
        <v>136</v>
      </c>
      <c r="C15" s="3002"/>
    </row>
    <row r="16" spans="1:7" ht="14.4">
      <c r="A16" s="3007"/>
      <c r="B16" s="3001" t="s">
        <v>69</v>
      </c>
      <c r="C16" s="3002"/>
    </row>
    <row r="17" spans="1:3" ht="14.4">
      <c r="A17" s="3007"/>
      <c r="B17" s="3004" t="s">
        <v>1670</v>
      </c>
      <c r="C17" s="1998" t="s">
        <v>1669</v>
      </c>
    </row>
    <row r="18" spans="1:3" ht="14.4">
      <c r="A18" s="3007"/>
      <c r="B18" s="3004"/>
      <c r="C18" s="1998" t="s">
        <v>1671</v>
      </c>
    </row>
    <row r="19" spans="1:3" ht="14.4">
      <c r="A19" s="3007"/>
      <c r="B19" s="3004"/>
      <c r="C19" s="1998" t="s">
        <v>1672</v>
      </c>
    </row>
    <row r="20" spans="1:3" ht="14.4">
      <c r="A20" s="3008"/>
      <c r="B20" s="3003" t="s">
        <v>1673</v>
      </c>
      <c r="C20" s="3002"/>
    </row>
    <row r="21" spans="1:3" ht="14.4">
      <c r="A21" s="1999" t="s">
        <v>1674</v>
      </c>
      <c r="B21" s="2000"/>
      <c r="C21" s="2001"/>
    </row>
    <row r="22" spans="1:3" ht="14.4">
      <c r="A22" s="3005" t="s">
        <v>1675</v>
      </c>
      <c r="B22" s="3003" t="s">
        <v>1676</v>
      </c>
      <c r="C22" s="3002"/>
    </row>
    <row r="23" spans="1:3" ht="14.4">
      <c r="A23" s="3005"/>
      <c r="B23" s="3003" t="s">
        <v>1677</v>
      </c>
      <c r="C23" s="3002"/>
    </row>
    <row r="24" spans="1:3" ht="14.4">
      <c r="A24" s="3005"/>
      <c r="B24" s="3003" t="s">
        <v>1678</v>
      </c>
      <c r="C24" s="3002"/>
    </row>
    <row r="25" spans="1:3" ht="14.4">
      <c r="A25" s="3005"/>
      <c r="B25" s="3004" t="s">
        <v>1679</v>
      </c>
      <c r="C25" s="1998" t="s">
        <v>1680</v>
      </c>
    </row>
    <row r="26" spans="1:3" ht="14.4">
      <c r="A26" s="3005"/>
      <c r="B26" s="3004"/>
      <c r="C26" s="1998" t="s">
        <v>1681</v>
      </c>
    </row>
    <row r="27" spans="1:3" ht="14.4">
      <c r="A27" s="3005"/>
      <c r="B27" s="3004"/>
      <c r="C27" s="1998" t="s">
        <v>1682</v>
      </c>
    </row>
    <row r="28" spans="1:3" ht="14.4">
      <c r="A28" s="3005"/>
      <c r="B28" s="3004"/>
      <c r="C28" s="1998" t="s">
        <v>1683</v>
      </c>
    </row>
    <row r="29" spans="1:3" ht="14.4">
      <c r="A29" s="3005"/>
      <c r="B29" s="3004"/>
      <c r="C29" s="1998" t="s">
        <v>1684</v>
      </c>
    </row>
    <row r="30" spans="1:3" ht="14.4">
      <c r="A30" s="3005"/>
      <c r="B30" s="3004"/>
      <c r="C30" s="1998" t="s">
        <v>1685</v>
      </c>
    </row>
    <row r="31" spans="1:3" ht="14.4">
      <c r="A31" s="3005"/>
      <c r="B31" s="3004"/>
      <c r="C31" s="1998" t="s">
        <v>1686</v>
      </c>
    </row>
    <row r="32" spans="1:3" ht="14.4">
      <c r="A32" s="3005"/>
      <c r="B32" s="3004"/>
      <c r="C32" s="1998" t="s">
        <v>1687</v>
      </c>
    </row>
    <row r="33" spans="1:3" ht="14.4">
      <c r="A33" s="3005"/>
      <c r="B33" s="3004"/>
      <c r="C33" s="1998" t="s">
        <v>1688</v>
      </c>
    </row>
    <row r="34" spans="1:3">
      <c r="A34" s="2002" t="s">
        <v>76</v>
      </c>
    </row>
    <row r="37" spans="1:3">
      <c r="A37" s="2002" t="s">
        <v>1689</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43346</v>
      </c>
      <c r="C2" s="1019" t="s">
        <v>826</v>
      </c>
      <c r="D2" s="1019"/>
    </row>
    <row r="3" spans="1:6" ht="24" customHeight="1">
      <c r="A3" s="1020" t="s">
        <v>827</v>
      </c>
      <c r="B3" s="1021" t="s">
        <v>828</v>
      </c>
      <c r="C3" s="2341" t="s">
        <v>829</v>
      </c>
      <c r="D3" s="2344" t="s">
        <v>830</v>
      </c>
      <c r="E3" s="1022" t="s">
        <v>831</v>
      </c>
      <c r="F3" s="1021" t="s">
        <v>829</v>
      </c>
    </row>
    <row r="4" spans="1:6" ht="24" customHeight="1">
      <c r="A4" s="1700" t="s">
        <v>832</v>
      </c>
      <c r="B4" s="1022">
        <f ca="1">IF(C4&lt;B2,"已过期",1119970066)</f>
        <v>1119970066</v>
      </c>
      <c r="C4" s="2342">
        <v>43849</v>
      </c>
      <c r="D4" s="2345" t="s">
        <v>832</v>
      </c>
      <c r="E4" s="1022">
        <f ca="1">IF(F4&lt;B2,"已过期",96010014)</f>
        <v>96010014</v>
      </c>
      <c r="F4" s="1030">
        <v>47118</v>
      </c>
    </row>
    <row r="5" spans="1:6" ht="24" customHeight="1">
      <c r="A5" s="1700" t="s">
        <v>833</v>
      </c>
      <c r="B5" s="1022">
        <f ca="1">IF(C5&lt;B2,"已过期",1119970074)</f>
        <v>1119970074</v>
      </c>
      <c r="C5" s="2342">
        <v>43849</v>
      </c>
      <c r="D5" s="2345" t="s">
        <v>833</v>
      </c>
      <c r="E5" s="1022">
        <f ca="1">IF(F5&lt;B2,"已过期",2002110027)</f>
        <v>2002110027</v>
      </c>
      <c r="F5" s="1030">
        <v>46752</v>
      </c>
    </row>
    <row r="6" spans="1:6" ht="24" customHeight="1">
      <c r="A6" s="1700" t="s">
        <v>834</v>
      </c>
      <c r="B6" s="1022">
        <f ca="1">IF(C6&lt;B2,"已过期",1119970111)</f>
        <v>1119970111</v>
      </c>
      <c r="C6" s="2342">
        <v>43849</v>
      </c>
      <c r="D6" s="2345" t="s">
        <v>834</v>
      </c>
      <c r="E6" s="1022">
        <f ca="1">IF(F6&lt;B2,"已过期",94010078)</f>
        <v>94010078</v>
      </c>
      <c r="F6" s="1030">
        <v>46387</v>
      </c>
    </row>
    <row r="7" spans="1:6" ht="24" customHeight="1">
      <c r="A7" s="1700" t="s">
        <v>835</v>
      </c>
      <c r="B7" s="1022">
        <f ca="1">IF(C7&lt;B2,"已过期",1120050019)</f>
        <v>1120050019</v>
      </c>
      <c r="C7" s="2342">
        <v>43359</v>
      </c>
      <c r="D7" s="2345" t="s">
        <v>835</v>
      </c>
      <c r="E7" s="1022">
        <f ca="1">IF(F7&lt;B2,"已过期",2002110030)</f>
        <v>2002110030</v>
      </c>
      <c r="F7" s="1030">
        <v>46387</v>
      </c>
    </row>
    <row r="8" spans="1:6" ht="24" customHeight="1">
      <c r="A8" s="1700" t="s">
        <v>836</v>
      </c>
      <c r="B8" s="1022">
        <f ca="1">IF(C8&lt;B2,"已过期",1120000080)</f>
        <v>1120000080</v>
      </c>
      <c r="C8" s="2342">
        <v>43849</v>
      </c>
      <c r="D8" s="2345" t="s">
        <v>836</v>
      </c>
      <c r="E8" s="1022">
        <f ca="1">IF(F8&lt;B2,"已过期",2000110082)</f>
        <v>2000110082</v>
      </c>
      <c r="F8" s="1030">
        <v>46387</v>
      </c>
    </row>
    <row r="9" spans="1:6" ht="24" customHeight="1">
      <c r="A9" s="1700" t="s">
        <v>837</v>
      </c>
      <c r="B9" s="1022">
        <f ca="1">IF(C9&lt;B2,"已过期",1419970001)</f>
        <v>1419970001</v>
      </c>
      <c r="C9" s="2342">
        <v>43867</v>
      </c>
      <c r="D9" s="2345" t="s">
        <v>837</v>
      </c>
      <c r="E9" s="1022">
        <f ca="1">IF(F9&lt;B2,"已过期",2002110125)</f>
        <v>2002110125</v>
      </c>
      <c r="F9" s="1030">
        <v>47118</v>
      </c>
    </row>
    <row r="10" spans="1:6" ht="24" customHeight="1">
      <c r="A10" s="1700" t="s">
        <v>838</v>
      </c>
      <c r="B10" s="1022">
        <f ca="1">IF(C10&lt;B2,"已过期",1120060040)</f>
        <v>1120060040</v>
      </c>
      <c r="C10" s="2342">
        <v>43483</v>
      </c>
      <c r="D10" s="2345" t="s">
        <v>838</v>
      </c>
      <c r="E10" s="1022">
        <f ca="1">IF(F10&lt;B2,"已过期",2004110096)</f>
        <v>2004110096</v>
      </c>
      <c r="F10" s="1030">
        <v>47118</v>
      </c>
    </row>
    <row r="11" spans="1:6" ht="24" customHeight="1">
      <c r="A11" s="1700" t="s">
        <v>839</v>
      </c>
      <c r="B11" s="1022">
        <f ca="1">IF(C11&lt;B2,"已过期",1120100036)</f>
        <v>1120100036</v>
      </c>
      <c r="C11" s="2342">
        <v>43622</v>
      </c>
      <c r="D11" s="2345" t="s">
        <v>839</v>
      </c>
      <c r="E11" s="1022">
        <f ca="1">IF(F11&lt;B2,"已过期",2010110070)</f>
        <v>2010110070</v>
      </c>
      <c r="F11" s="1030">
        <v>47907</v>
      </c>
    </row>
    <row r="12" spans="1:6" ht="24" customHeight="1">
      <c r="A12" s="1700" t="s">
        <v>3047</v>
      </c>
      <c r="B12" s="1022">
        <v>1120110054</v>
      </c>
      <c r="C12" s="2935">
        <v>43937</v>
      </c>
      <c r="D12" s="1700" t="s">
        <v>3047</v>
      </c>
      <c r="E12" s="1022">
        <v>2008110060</v>
      </c>
      <c r="F12" s="1030">
        <v>47177</v>
      </c>
    </row>
    <row r="13" spans="1:6" ht="24" customHeight="1">
      <c r="A13" s="1700" t="s">
        <v>840</v>
      </c>
      <c r="B13" s="1022">
        <f ca="1">IF(C13&lt;B2,"已过期",1120070131)</f>
        <v>1120070131</v>
      </c>
      <c r="C13" s="2342">
        <v>43814</v>
      </c>
      <c r="D13" s="2345" t="s">
        <v>840</v>
      </c>
      <c r="E13" s="1022">
        <v>2014110011</v>
      </c>
      <c r="F13" s="1030">
        <v>49302</v>
      </c>
    </row>
    <row r="14" spans="1:6" ht="24" customHeight="1">
      <c r="A14" s="1700" t="s">
        <v>841</v>
      </c>
      <c r="B14" s="1022">
        <f ca="1">IF(C14&lt;B2,"已过期",1120130020)</f>
        <v>1120130020</v>
      </c>
      <c r="C14" s="2342">
        <v>43622</v>
      </c>
      <c r="D14" s="2345"/>
      <c r="E14" s="1022"/>
      <c r="F14" s="1022"/>
    </row>
    <row r="15" spans="1:6" ht="24" customHeight="1">
      <c r="A15" s="1701" t="s">
        <v>1149</v>
      </c>
      <c r="B15" s="1022">
        <v>1120070085</v>
      </c>
      <c r="C15" s="2342">
        <v>43814</v>
      </c>
      <c r="D15" s="2346" t="s">
        <v>1149</v>
      </c>
      <c r="E15" s="1022">
        <v>2004110128</v>
      </c>
      <c r="F15" s="1023">
        <v>47118</v>
      </c>
    </row>
    <row r="16" spans="1:6" ht="24" customHeight="1">
      <c r="A16" s="1700" t="s">
        <v>842</v>
      </c>
      <c r="B16" s="1022">
        <f ca="1">IF(C16&lt;B2,"已过期",1120140022)</f>
        <v>1120140022</v>
      </c>
      <c r="C16" s="2342">
        <v>44029</v>
      </c>
      <c r="D16" s="2345" t="s">
        <v>842</v>
      </c>
      <c r="E16" s="1022">
        <f ca="1">IF(F16&lt;B2,"已过期",2008110059)</f>
        <v>2008110059</v>
      </c>
      <c r="F16" s="1030">
        <v>47177</v>
      </c>
    </row>
    <row r="17" spans="1:7" ht="24" customHeight="1">
      <c r="A17" s="1700"/>
      <c r="B17" s="1022"/>
      <c r="C17" s="2342"/>
      <c r="D17" s="2345"/>
      <c r="E17" s="1022"/>
      <c r="F17" s="1030"/>
    </row>
    <row r="18" spans="1:7" ht="24" customHeight="1">
      <c r="A18" s="1700"/>
      <c r="B18" s="1022"/>
      <c r="C18" s="2342"/>
      <c r="D18" s="2345"/>
      <c r="E18" s="1022"/>
      <c r="F18" s="1030"/>
    </row>
    <row r="19" spans="1:7" ht="24" customHeight="1">
      <c r="A19" s="1700"/>
      <c r="B19" s="1022"/>
      <c r="C19" s="2342"/>
      <c r="D19" s="2345"/>
      <c r="E19" s="1022"/>
      <c r="F19" s="1022"/>
    </row>
    <row r="20" spans="1:7" ht="24" customHeight="1">
      <c r="A20" s="1700"/>
      <c r="B20" s="1022"/>
      <c r="C20" s="2342"/>
      <c r="D20" s="2345"/>
      <c r="E20" s="1022"/>
      <c r="F20" s="1022"/>
    </row>
    <row r="21" spans="1:7" ht="24" customHeight="1">
      <c r="A21" s="1700"/>
      <c r="B21" s="1022"/>
      <c r="C21" s="2342"/>
      <c r="D21" s="2345" t="s">
        <v>843</v>
      </c>
      <c r="E21" s="1022">
        <f ca="1">IF(F21&lt;B2,"已过期",2011110090)</f>
        <v>2011110090</v>
      </c>
      <c r="F21" s="1030">
        <v>48302</v>
      </c>
    </row>
    <row r="22" spans="1:7" ht="24" customHeight="1">
      <c r="A22" s="1700" t="s">
        <v>844</v>
      </c>
      <c r="B22" s="1022" t="str">
        <f ca="1">IF(C22&lt;B2,"已过期",1120020033)</f>
        <v>已过期</v>
      </c>
      <c r="C22" s="2342">
        <v>43304</v>
      </c>
      <c r="D22" s="2345" t="s">
        <v>844</v>
      </c>
      <c r="E22" s="1022">
        <f ca="1">IF(F22&lt;B2,"已过期",2000110137)</f>
        <v>2000110137</v>
      </c>
      <c r="F22" s="1030">
        <v>46387</v>
      </c>
    </row>
    <row r="23" spans="1:7" ht="24" customHeight="1">
      <c r="A23" s="1700" t="s">
        <v>845</v>
      </c>
      <c r="B23" s="1022">
        <f ca="1">IF(C23&lt;B2,"已过期",1120130048)</f>
        <v>1120130048</v>
      </c>
      <c r="C23" s="2342">
        <v>43686</v>
      </c>
      <c r="D23" s="2345"/>
      <c r="E23" s="1022"/>
      <c r="F23" s="1022"/>
    </row>
    <row r="24" spans="1:7" s="1024" customFormat="1" ht="24" customHeight="1">
      <c r="A24" s="1701" t="s">
        <v>1333</v>
      </c>
      <c r="B24" s="1701" t="s">
        <v>1333</v>
      </c>
      <c r="C24" s="2343" t="s">
        <v>1333</v>
      </c>
      <c r="D24" s="2346" t="s">
        <v>1333</v>
      </c>
      <c r="E24" s="1701" t="s">
        <v>1333</v>
      </c>
      <c r="F24" s="1701" t="s">
        <v>1333</v>
      </c>
    </row>
    <row r="25" spans="1:7" ht="24" customHeight="1">
      <c r="A25" s="3009" t="s">
        <v>846</v>
      </c>
      <c r="B25" s="3009"/>
      <c r="C25" s="3009"/>
      <c r="D25" s="3009"/>
      <c r="E25" s="3009"/>
      <c r="F25" s="3009"/>
      <c r="G25" s="3009"/>
    </row>
    <row r="26" spans="1:7" s="1025" customFormat="1" ht="24" customHeight="1">
      <c r="A26" s="3010" t="s">
        <v>847</v>
      </c>
      <c r="B26" s="3010"/>
      <c r="C26" s="3011"/>
      <c r="D26" s="3012" t="s">
        <v>848</v>
      </c>
      <c r="E26" s="3010"/>
      <c r="F26" s="3010"/>
    </row>
    <row r="27" spans="1:7" s="1027" customFormat="1" ht="24" customHeight="1">
      <c r="A27" s="1026" t="s">
        <v>849</v>
      </c>
      <c r="B27" s="1021" t="s">
        <v>850</v>
      </c>
      <c r="C27" s="2341" t="s">
        <v>851</v>
      </c>
      <c r="D27" s="2349" t="s">
        <v>849</v>
      </c>
      <c r="E27" s="1021" t="s">
        <v>850</v>
      </c>
      <c r="F27" s="1021" t="s">
        <v>851</v>
      </c>
    </row>
    <row r="28" spans="1:7" s="1027" customFormat="1" ht="24" customHeight="1">
      <c r="A28" s="1028" t="s">
        <v>852</v>
      </c>
      <c r="B28" s="1029" t="s">
        <v>853</v>
      </c>
      <c r="C28" s="2347">
        <v>43725</v>
      </c>
      <c r="D28" s="2350" t="s">
        <v>854</v>
      </c>
      <c r="E28" s="1028" t="s">
        <v>855</v>
      </c>
      <c r="F28" s="1058">
        <v>44377</v>
      </c>
    </row>
    <row r="29" spans="1:7" s="1027" customFormat="1" ht="24" customHeight="1">
      <c r="A29" s="1028"/>
      <c r="B29" s="1028"/>
      <c r="C29" s="2348"/>
      <c r="D29" s="2350"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收益法-商业1拖2</vt:lpstr>
      <vt:lpstr>收益法-商业（1层）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'收益法-商业（1层）'!Print_Area</vt:lpstr>
      <vt:lpstr>'收益法-商业1拖2'!Print_Area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2018-09-03T07:14:02Z</dcterms:modified>
</cp:coreProperties>
</file>