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223北京市朝阳区燕保平乐园家园项目1号楼5.6单元共计206套住宅租金评估\"/>
    </mc:Choice>
  </mc:AlternateContent>
  <bookViews>
    <workbookView xWindow="60" yWindow="48" windowWidth="14532" windowHeight="12420"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47" i="21" l="1"/>
  <c r="G47" i="21"/>
  <c r="I47" i="21"/>
  <c r="F128" i="21"/>
  <c r="E128" i="21"/>
  <c r="D128" i="21"/>
  <c r="C128" i="21"/>
  <c r="I7" i="21"/>
  <c r="G7" i="21"/>
  <c r="E7" i="21"/>
  <c r="I5" i="21"/>
  <c r="G5" i="21"/>
  <c r="E5" i="21"/>
  <c r="B4" i="80"/>
  <c r="B5" i="80"/>
  <c r="B3" i="80"/>
  <c r="C60" i="78" l="1"/>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AB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H25" i="37"/>
  <c r="U25" i="37" s="1"/>
  <c r="B110" i="37"/>
  <c r="J39" i="37" s="1"/>
  <c r="AC39" i="37" s="1"/>
  <c r="B108" i="37"/>
  <c r="C23" i="37"/>
  <c r="C19" i="37"/>
  <c r="C17" i="37"/>
  <c r="C15" i="37"/>
  <c r="B112" i="37"/>
  <c r="J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c r="J22" i="36"/>
  <c r="AC22" i="36" s="1"/>
  <c r="Q20" i="36"/>
  <c r="Z20" i="36"/>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H35" i="35" s="1"/>
  <c r="B97" i="35"/>
  <c r="B77" i="35"/>
  <c r="B75" i="35"/>
  <c r="J24" i="35" s="1"/>
  <c r="AC24" i="35"/>
  <c r="B73" i="35"/>
  <c r="J23" i="35" s="1"/>
  <c r="AC23" i="35" s="1"/>
  <c r="H23" i="35"/>
  <c r="U23" i="35" s="1"/>
  <c r="B57" i="35"/>
  <c r="F11" i="35" s="1"/>
  <c r="S11" i="35" s="1"/>
  <c r="B61" i="35"/>
  <c r="F13" i="35" s="1"/>
  <c r="B59" i="35"/>
  <c r="F12" i="35" s="1"/>
  <c r="B131" i="34"/>
  <c r="B129" i="34"/>
  <c r="J46" i="34" s="1"/>
  <c r="B127" i="34"/>
  <c r="J45" i="34" s="1"/>
  <c r="B99" i="34"/>
  <c r="B97" i="34"/>
  <c r="B95" i="34"/>
  <c r="B93" i="34"/>
  <c r="B75" i="34"/>
  <c r="B73" i="34"/>
  <c r="B71" i="34"/>
  <c r="B130" i="33"/>
  <c r="H46" i="33" s="1"/>
  <c r="B128" i="33"/>
  <c r="B126" i="33"/>
  <c r="B98" i="33"/>
  <c r="F31" i="33" s="1"/>
  <c r="B96" i="33"/>
  <c r="J30" i="33" s="1"/>
  <c r="B94" i="33"/>
  <c r="B74" i="33"/>
  <c r="B72" i="33"/>
  <c r="B70" i="33"/>
  <c r="J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s="1"/>
  <c r="B126" i="21"/>
  <c r="F44" i="21" s="1"/>
  <c r="B98" i="21"/>
  <c r="H31" i="21"/>
  <c r="B96" i="21"/>
  <c r="J30" i="21" s="1"/>
  <c r="B94" i="21"/>
  <c r="J29" i="21" s="1"/>
  <c r="AC29" i="21" s="1"/>
  <c r="B92" i="21"/>
  <c r="J28" i="21" s="1"/>
  <c r="W28" i="21" s="1"/>
  <c r="B90" i="21"/>
  <c r="J27" i="21" s="1"/>
  <c r="W27" i="21" s="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F45" i="39"/>
  <c r="S45" i="39" s="1"/>
  <c r="J45" i="39"/>
  <c r="W45" i="39" s="1"/>
  <c r="J44" i="39"/>
  <c r="AC44" i="39"/>
  <c r="F36" i="39"/>
  <c r="S36" i="39" s="1"/>
  <c r="H36" i="39"/>
  <c r="AB36" i="39" s="1"/>
  <c r="J35" i="39"/>
  <c r="AC35" i="39" s="1"/>
  <c r="F35" i="39"/>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AC27" i="35"/>
  <c r="W28" i="35"/>
  <c r="U31" i="35"/>
  <c r="W22" i="35"/>
  <c r="S31" i="35"/>
  <c r="U34" i="35"/>
  <c r="F36" i="34"/>
  <c r="J35" i="34"/>
  <c r="U34" i="34"/>
  <c r="H39" i="33"/>
  <c r="AB39" i="33" s="1"/>
  <c r="U33" i="33"/>
  <c r="U35" i="33"/>
  <c r="W33" i="33"/>
  <c r="W39" i="33"/>
  <c r="H39" i="37"/>
  <c r="AB39" i="37" s="1"/>
  <c r="S27" i="35"/>
  <c r="F11" i="40"/>
  <c r="AA11" i="40" s="1"/>
  <c r="H11" i="40"/>
  <c r="AB11" i="40"/>
  <c r="W8"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H32" i="33"/>
  <c r="AB32" i="33"/>
  <c r="H11" i="21"/>
  <c r="U11" i="21" s="1"/>
  <c r="J11" i="21"/>
  <c r="W11" i="21" s="1"/>
  <c r="H37" i="40"/>
  <c r="U37" i="40"/>
  <c r="H36" i="40"/>
  <c r="AB36" i="40" s="1"/>
  <c r="F35" i="40"/>
  <c r="AA35" i="40"/>
  <c r="H23" i="40"/>
  <c r="AB23" i="40" s="1"/>
  <c r="H17" i="40"/>
  <c r="U17" i="40" s="1"/>
  <c r="J15" i="40"/>
  <c r="W15" i="40" s="1"/>
  <c r="J11" i="40"/>
  <c r="W11" i="40" s="1"/>
  <c r="AB12" i="35"/>
  <c r="W32" i="40"/>
  <c r="S44" i="39"/>
  <c r="F37" i="39"/>
  <c r="AA37" i="39"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s="1"/>
  <c r="F35" i="37"/>
  <c r="S35" i="37" s="1"/>
  <c r="E101" i="37"/>
  <c r="F101" i="37"/>
  <c r="G101" i="37" s="1"/>
  <c r="H101" i="37" s="1"/>
  <c r="I101" i="37" s="1"/>
  <c r="J101" i="37" s="1"/>
  <c r="K101" i="37"/>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F113" i="33"/>
  <c r="G113" i="33"/>
  <c r="H113" i="33" s="1"/>
  <c r="I113" i="33" s="1"/>
  <c r="J113" i="33" s="1"/>
  <c r="K113" i="33" s="1"/>
  <c r="L113" i="33"/>
  <c r="M113" i="33" s="1"/>
  <c r="H37" i="33"/>
  <c r="AB37" i="33"/>
  <c r="H15" i="33"/>
  <c r="AB15" i="33" s="1"/>
  <c r="H11" i="33"/>
  <c r="F28" i="40"/>
  <c r="AA28" i="40"/>
  <c r="AA29" i="35"/>
  <c r="AA42" i="34"/>
  <c r="S42" i="34"/>
  <c r="AC38" i="34"/>
  <c r="AA38" i="34"/>
  <c r="J37" i="34"/>
  <c r="AC37" i="34" s="1"/>
  <c r="J11" i="33"/>
  <c r="W11" i="33" s="1"/>
  <c r="S28" i="34"/>
  <c r="M123" i="21"/>
  <c r="J42" i="21"/>
  <c r="AC42" i="21"/>
  <c r="H42" i="21"/>
  <c r="U42" i="21"/>
  <c r="J44" i="34"/>
  <c r="F44" i="34"/>
  <c r="S44" i="34" s="1"/>
  <c r="AA44" i="34"/>
  <c r="J10" i="35"/>
  <c r="AC10" i="35" s="1"/>
  <c r="H28" i="21"/>
  <c r="AB28" i="21" s="1"/>
  <c r="F28" i="21"/>
  <c r="AA28" i="21" s="1"/>
  <c r="H30" i="21"/>
  <c r="U30" i="21" s="1"/>
  <c r="F30" i="21"/>
  <c r="S30" i="21" s="1"/>
  <c r="AC30" i="21"/>
  <c r="J44" i="21"/>
  <c r="AC44" i="21" s="1"/>
  <c r="H44" i="21"/>
  <c r="U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F46" i="34"/>
  <c r="H11" i="35"/>
  <c r="AB11" i="35" s="1"/>
  <c r="J11" i="35"/>
  <c r="J26" i="36"/>
  <c r="W26" i="36"/>
  <c r="H28" i="36"/>
  <c r="U28" i="36" s="1"/>
  <c r="H32" i="36"/>
  <c r="AB32" i="36" s="1"/>
  <c r="J32" i="36"/>
  <c r="W32" i="36" s="1"/>
  <c r="J11" i="36"/>
  <c r="AC11" i="36" s="1"/>
  <c r="H11" i="36"/>
  <c r="U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40" i="37"/>
  <c r="F40" i="37"/>
  <c r="AA40" i="37" s="1"/>
  <c r="AC12" i="40"/>
  <c r="W12" i="40"/>
  <c r="H14" i="33"/>
  <c r="U14" i="33" s="1"/>
  <c r="F14" i="33"/>
  <c r="J14" i="33"/>
  <c r="H30" i="33"/>
  <c r="AB30" i="33"/>
  <c r="F30" i="33"/>
  <c r="H44" i="33"/>
  <c r="J44" i="33"/>
  <c r="AC44" i="33"/>
  <c r="F44" i="33"/>
  <c r="S44" i="33" s="1"/>
  <c r="J46" i="33"/>
  <c r="AC46" i="33"/>
  <c r="F46" i="33"/>
  <c r="AA46" i="33" s="1"/>
  <c r="AB46" i="33"/>
  <c r="H13" i="34"/>
  <c r="U13" i="34" s="1"/>
  <c r="J13" i="34"/>
  <c r="W13" i="34" s="1"/>
  <c r="F13" i="34"/>
  <c r="AA13" i="34" s="1"/>
  <c r="J29" i="34"/>
  <c r="F29" i="34"/>
  <c r="S29" i="34" s="1"/>
  <c r="H29" i="34"/>
  <c r="AB29" i="34" s="1"/>
  <c r="J31" i="34"/>
  <c r="AC31" i="34" s="1"/>
  <c r="H31" i="34"/>
  <c r="F31" i="34"/>
  <c r="S31" i="34"/>
  <c r="H45" i="34"/>
  <c r="U45" i="34" s="1"/>
  <c r="W45" i="34"/>
  <c r="F45" i="34"/>
  <c r="S45" i="34" s="1"/>
  <c r="H47" i="34"/>
  <c r="U47" i="34" s="1"/>
  <c r="F47" i="34"/>
  <c r="S47" i="34" s="1"/>
  <c r="J47" i="34"/>
  <c r="AC47" i="34"/>
  <c r="J13" i="35"/>
  <c r="AC13" i="35" s="1"/>
  <c r="H13" i="35"/>
  <c r="U13" i="35" s="1"/>
  <c r="J25" i="35"/>
  <c r="W25" i="35"/>
  <c r="F25" i="35"/>
  <c r="S25" i="35" s="1"/>
  <c r="H25" i="35"/>
  <c r="AB25" i="35" s="1"/>
  <c r="J35" i="35"/>
  <c r="AC35" i="35" s="1"/>
  <c r="F35" i="35"/>
  <c r="AA35" i="35" s="1"/>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c r="H12" i="40"/>
  <c r="AB12" i="40" s="1"/>
  <c r="H30" i="40"/>
  <c r="AB30" i="40"/>
  <c r="F33" i="40"/>
  <c r="AA33" i="40" s="1"/>
  <c r="H33" i="40"/>
  <c r="U33" i="40" s="1"/>
  <c r="J35" i="40"/>
  <c r="AC35" i="40" s="1"/>
  <c r="J37" i="40"/>
  <c r="AC37" i="40"/>
  <c r="H13" i="40"/>
  <c r="U13" i="40" s="1"/>
  <c r="J13" i="40"/>
  <c r="W13" i="40"/>
  <c r="F13" i="40"/>
  <c r="AA13" i="40" s="1"/>
  <c r="F14" i="37"/>
  <c r="AA14" i="37" s="1"/>
  <c r="S14" i="37"/>
  <c r="F27" i="37"/>
  <c r="AA27" i="37" s="1"/>
  <c r="F13" i="39"/>
  <c r="J13" i="39"/>
  <c r="W13" i="39" s="1"/>
  <c r="H13" i="39"/>
  <c r="J14" i="40"/>
  <c r="W14" i="40" s="1"/>
  <c r="J14" i="37"/>
  <c r="J27" i="37"/>
  <c r="AC27" i="37"/>
  <c r="AA44" i="33"/>
  <c r="U46" i="33"/>
  <c r="J36" i="37"/>
  <c r="AC36" i="37" s="1"/>
  <c r="J10" i="36"/>
  <c r="AC10" i="36" s="1"/>
  <c r="AB26" i="33"/>
  <c r="AB30" i="21"/>
  <c r="W31" i="34"/>
  <c r="S11" i="36"/>
  <c r="S45" i="33"/>
  <c r="AB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BA566" i="3"/>
  <c r="BA564" i="3"/>
  <c r="BA562" i="3"/>
  <c r="BA558" i="3"/>
  <c r="AZ558" i="3"/>
  <c r="BA556" i="3"/>
  <c r="AZ556" i="3" s="1"/>
  <c r="BA554" i="3"/>
  <c r="AZ554" i="3" s="1"/>
  <c r="BA552" i="3"/>
  <c r="BA548" i="3"/>
  <c r="BA546" i="3"/>
  <c r="AZ546" i="3" s="1"/>
  <c r="BA544" i="3"/>
  <c r="BA542" i="3"/>
  <c r="BA540" i="3"/>
  <c r="BA536" i="3"/>
  <c r="AZ536" i="3"/>
  <c r="BA532" i="3"/>
  <c r="BA528" i="3"/>
  <c r="BA526" i="3"/>
  <c r="BA524" i="3"/>
  <c r="BA520" i="3"/>
  <c r="BA518" i="3"/>
  <c r="AZ518" i="3" s="1"/>
  <c r="BA516" i="3"/>
  <c r="AZ516" i="3" s="1"/>
  <c r="BA512" i="3"/>
  <c r="AZ512" i="3"/>
  <c r="BA510" i="3"/>
  <c r="BA508" i="3"/>
  <c r="BA506" i="3"/>
  <c r="BA504" i="3"/>
  <c r="BA502" i="3"/>
  <c r="BA500" i="3"/>
  <c r="AZ500" i="3" s="1"/>
  <c r="BA498" i="3"/>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BQ533" i="3"/>
  <c r="BL533" i="3"/>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c r="S28" i="31"/>
  <c r="S27" i="31"/>
  <c r="S26" i="31"/>
  <c r="U14" i="40"/>
  <c r="W23" i="35"/>
  <c r="U39" i="37"/>
  <c r="U26" i="37"/>
  <c r="W47" i="34"/>
  <c r="AC36" i="34"/>
  <c r="AA13" i="33"/>
  <c r="AC31" i="33"/>
  <c r="AC45" i="33"/>
  <c r="W44" i="33"/>
  <c r="U19" i="21"/>
  <c r="AB38" i="21"/>
  <c r="F43" i="33"/>
  <c r="AA43" i="33"/>
  <c r="W15" i="34"/>
  <c r="AC15" i="34"/>
  <c r="W16" i="35"/>
  <c r="W40" i="37"/>
  <c r="G107" i="37"/>
  <c r="H107" i="37" s="1"/>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c r="AT6" i="3"/>
  <c r="H5" i="3"/>
  <c r="H19" i="40"/>
  <c r="U19" i="40" s="1"/>
  <c r="F88" i="40"/>
  <c r="G88" i="40" s="1"/>
  <c r="F19" i="40"/>
  <c r="S19" i="40" s="1"/>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120" i="3"/>
  <c r="AZ128"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237" i="3"/>
  <c r="AZ245" i="3"/>
  <c r="AZ257" i="3"/>
  <c r="AZ265" i="3"/>
  <c r="BA379" i="3"/>
  <c r="AZ379" i="3" s="1"/>
  <c r="BL380" i="3"/>
  <c r="G381" i="3"/>
  <c r="BA383" i="3"/>
  <c r="AZ383" i="3" s="1"/>
  <c r="BL384" i="3"/>
  <c r="AZ384" i="3" s="1"/>
  <c r="G385" i="3"/>
  <c r="BA387" i="3"/>
  <c r="AZ387" i="3" s="1"/>
  <c r="BL388" i="3"/>
  <c r="G389" i="3"/>
  <c r="BA391" i="3"/>
  <c r="BL392" i="3"/>
  <c r="AZ392" i="3" s="1"/>
  <c r="G393" i="3"/>
  <c r="AZ283" i="3"/>
  <c r="BO5" i="3"/>
  <c r="BM5" i="3"/>
  <c r="F29" i="6" s="1"/>
  <c r="BJ5" i="3"/>
  <c r="BH5" i="3"/>
  <c r="BF5" i="3"/>
  <c r="BD5" i="3"/>
  <c r="AZ325" i="3"/>
  <c r="AC5" i="3"/>
  <c r="AZ496" i="3"/>
  <c r="G548" i="3"/>
  <c r="G538" i="3"/>
  <c r="G520" i="3"/>
  <c r="G502" i="3"/>
  <c r="BS5" i="3"/>
  <c r="BP5" i="3"/>
  <c r="BN5" i="3"/>
  <c r="BK5" i="3"/>
  <c r="BI5" i="3"/>
  <c r="BG5" i="3"/>
  <c r="BE5" i="3"/>
  <c r="BC5" i="3"/>
  <c r="G17" i="3"/>
  <c r="BA17" i="3"/>
  <c r="BT5" i="3"/>
  <c r="BA15" i="3"/>
  <c r="AZ15" i="3" s="1"/>
  <c r="BB5" i="3"/>
  <c r="BR5"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69" i="3"/>
  <c r="AZ82" i="3"/>
  <c r="AZ9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BL14" i="3"/>
  <c r="U30" i="33"/>
  <c r="AC13" i="34"/>
  <c r="AA47" i="34"/>
  <c r="W28" i="37"/>
  <c r="S19" i="39"/>
  <c r="F12" i="33"/>
  <c r="H12" i="39"/>
  <c r="AB12" i="39"/>
  <c r="F39" i="40"/>
  <c r="AA39" i="40" s="1"/>
  <c r="BA14" i="3"/>
  <c r="AZ14" i="3" s="1"/>
  <c r="AZ224" i="3"/>
  <c r="AZ181" i="3"/>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AA23" i="21" s="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46" i="21"/>
  <c r="U40" i="21"/>
  <c r="AB31" i="21"/>
  <c r="U31" i="21"/>
  <c r="U13" i="21"/>
  <c r="AB13" i="21"/>
  <c r="S35" i="21"/>
  <c r="H15" i="21"/>
  <c r="AB15" i="21" s="1"/>
  <c r="J17" i="21"/>
  <c r="AC17" i="21" s="1"/>
  <c r="AC19" i="21"/>
  <c r="W39" i="21"/>
  <c r="W30" i="21"/>
  <c r="S46" i="21"/>
  <c r="F29" i="21"/>
  <c r="AA29" i="21" s="1"/>
  <c r="F13" i="21"/>
  <c r="AA13" i="21" s="1"/>
  <c r="AC38" i="21"/>
  <c r="H9" i="21"/>
  <c r="J9" i="21"/>
  <c r="J32" i="21"/>
  <c r="W32" i="21" s="1"/>
  <c r="W29" i="21"/>
  <c r="S19" i="21"/>
  <c r="S9" i="21"/>
  <c r="AA9" i="21"/>
  <c r="K141" i="21"/>
  <c r="K144" i="21"/>
  <c r="K143" i="21"/>
  <c r="U27" i="21"/>
  <c r="AB25" i="21"/>
  <c r="AA30" i="21"/>
  <c r="W13" i="21"/>
  <c r="W42" i="21"/>
  <c r="F10" i="21"/>
  <c r="AA10" i="21" s="1"/>
  <c r="K145" i="21"/>
  <c r="W25" i="21"/>
  <c r="W31"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H19" i="33"/>
  <c r="AB19" i="33" s="1"/>
  <c r="G81" i="33"/>
  <c r="H17" i="33"/>
  <c r="U17" i="33" s="1"/>
  <c r="F17" i="33"/>
  <c r="S17" i="33" s="1"/>
  <c r="W17" i="33"/>
  <c r="AC17" i="33"/>
  <c r="J23" i="21"/>
  <c r="F85" i="21"/>
  <c r="G85" i="21" s="1"/>
  <c r="H23" i="21"/>
  <c r="S13" i="21"/>
  <c r="AP7" i="1"/>
  <c r="AB9" i="21"/>
  <c r="U9" i="21"/>
  <c r="W9" i="21"/>
  <c r="AC9" i="21"/>
  <c r="A18" i="62"/>
  <c r="B64" i="72" s="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42" i="15"/>
  <c r="M8" i="15"/>
  <c r="F16" i="67"/>
  <c r="F26" i="67"/>
  <c r="B9" i="76"/>
  <c r="M26" i="15"/>
  <c r="B12" i="76"/>
  <c r="E2" i="69"/>
  <c r="F20" i="31"/>
  <c r="F7" i="15"/>
  <c r="D19" i="9"/>
  <c r="AO13" i="1"/>
  <c r="E11" i="76"/>
  <c r="F38" i="15"/>
  <c r="E8" i="76"/>
  <c r="M28" i="67"/>
  <c r="F9" i="15"/>
  <c r="B7" i="76"/>
  <c r="F40" i="67"/>
  <c r="F36" i="67"/>
  <c r="M29" i="15"/>
  <c r="D35" i="9"/>
  <c r="M8" i="67"/>
  <c r="M9" i="67"/>
  <c r="F36" i="15"/>
  <c r="C76" i="15"/>
  <c r="F16" i="15"/>
  <c r="B11" i="76"/>
  <c r="F8" i="15"/>
  <c r="M22" i="15"/>
  <c r="F7" i="73"/>
  <c r="L48" i="15"/>
  <c r="M24" i="15"/>
  <c r="J15" i="15"/>
  <c r="F43" i="15"/>
  <c r="F26" i="15"/>
  <c r="C19" i="9"/>
  <c r="F37" i="15"/>
  <c r="C20" i="9"/>
  <c r="D34" i="9"/>
  <c r="E2" i="68"/>
  <c r="L47" i="15"/>
  <c r="E7" i="76"/>
  <c r="F40" i="15"/>
  <c r="M23" i="15"/>
  <c r="B13" i="76"/>
  <c r="M6" i="15"/>
  <c r="B8" i="76"/>
  <c r="E10" i="76"/>
  <c r="F5" i="73"/>
  <c r="F4" i="73"/>
  <c r="F6" i="15"/>
  <c r="F3" i="73"/>
  <c r="E9" i="76"/>
  <c r="B10" i="76"/>
  <c r="M28" i="15"/>
  <c r="M9" i="15"/>
  <c r="F6" i="73"/>
  <c r="F13" i="15"/>
  <c r="D20" i="9"/>
  <c r="E12" i="76"/>
  <c r="C76" i="67"/>
  <c r="D6" i="73"/>
  <c r="F32" i="21" l="1"/>
  <c r="AA32" i="21" s="1"/>
  <c r="W17" i="21"/>
  <c r="U17" i="21"/>
  <c r="S17" i="21"/>
  <c r="F101" i="21"/>
  <c r="G101" i="21" s="1"/>
  <c r="H101" i="21" s="1"/>
  <c r="I101" i="21" s="1"/>
  <c r="J101" i="21" s="1"/>
  <c r="K101" i="21" s="1"/>
  <c r="L101" i="21" s="1"/>
  <c r="M101" i="21" s="1"/>
  <c r="H32" i="21"/>
  <c r="AB32" i="21" s="1"/>
  <c r="H113" i="21"/>
  <c r="F37" i="21"/>
  <c r="AA37" i="21" s="1"/>
  <c r="H37" i="21"/>
  <c r="U37" i="21" s="1"/>
  <c r="J37" i="21"/>
  <c r="W37" i="21" s="1"/>
  <c r="S28" i="21"/>
  <c r="AA31" i="21"/>
  <c r="S27" i="21"/>
  <c r="W45" i="21"/>
  <c r="AC45" i="21"/>
  <c r="S45" i="21"/>
  <c r="H45" i="21"/>
  <c r="AA44" i="21"/>
  <c r="S44" i="21"/>
  <c r="W44" i="21"/>
  <c r="AB44" i="21"/>
  <c r="AC32" i="39"/>
  <c r="U19" i="33"/>
  <c r="D6" i="52"/>
  <c r="AA23" i="37"/>
  <c r="U15" i="21"/>
  <c r="W27" i="40"/>
  <c r="S23" i="21"/>
  <c r="W15" i="21"/>
  <c r="U32" i="37"/>
  <c r="AZ303" i="3"/>
  <c r="AZ579" i="3"/>
  <c r="S41" i="33"/>
  <c r="BL587" i="3"/>
  <c r="BA586" i="3"/>
  <c r="AZ586" i="3" s="1"/>
  <c r="BA585" i="3"/>
  <c r="S25" i="21"/>
  <c r="AA25" i="21"/>
  <c r="AB11" i="33"/>
  <c r="U11" i="33"/>
  <c r="AB36" i="33"/>
  <c r="AA19" i="33"/>
  <c r="S39" i="40"/>
  <c r="AZ391" i="3"/>
  <c r="AZ371" i="3"/>
  <c r="AZ329" i="3"/>
  <c r="AZ304" i="3"/>
  <c r="AZ306" i="3"/>
  <c r="AZ503" i="3"/>
  <c r="AA14" i="33"/>
  <c r="S14" i="33"/>
  <c r="AB46" i="34"/>
  <c r="U46" i="34"/>
  <c r="S14" i="34"/>
  <c r="AA14" i="34"/>
  <c r="AA35" i="39"/>
  <c r="S35" i="39"/>
  <c r="AZ357" i="3"/>
  <c r="AZ364" i="3"/>
  <c r="AA11" i="39"/>
  <c r="AZ587" i="3"/>
  <c r="AZ508" i="3"/>
  <c r="AZ526" i="3"/>
  <c r="AZ540" i="3"/>
  <c r="W11" i="35"/>
  <c r="AC11" i="35"/>
  <c r="J14" i="21"/>
  <c r="F14" i="21"/>
  <c r="H14" i="21"/>
  <c r="AZ322" i="3"/>
  <c r="AZ313" i="3"/>
  <c r="AZ160" i="3"/>
  <c r="AZ394" i="3"/>
  <c r="F12" i="39"/>
  <c r="AZ519" i="3"/>
  <c r="AZ531" i="3"/>
  <c r="AZ573" i="3"/>
  <c r="AZ583" i="3"/>
  <c r="AZ498" i="3"/>
  <c r="AZ544" i="3"/>
  <c r="AZ570" i="3"/>
  <c r="F14" i="40"/>
  <c r="H31" i="39"/>
  <c r="F31" i="39"/>
  <c r="AC30" i="36"/>
  <c r="W30" i="36"/>
  <c r="BA584" i="3"/>
  <c r="AZ584" i="3" s="1"/>
  <c r="BL582" i="3"/>
  <c r="AZ582" i="3" s="1"/>
  <c r="AZ529" i="3"/>
  <c r="AZ537" i="3"/>
  <c r="AZ510" i="3"/>
  <c r="AZ528" i="3"/>
  <c r="AZ502" i="3"/>
  <c r="B97" i="43"/>
  <c r="B75" i="43"/>
  <c r="F9" i="34"/>
  <c r="AA9" i="34" s="1"/>
  <c r="J9" i="34"/>
  <c r="H9" i="34"/>
  <c r="AB31" i="36"/>
  <c r="U31" i="36"/>
  <c r="J25" i="37"/>
  <c r="F25" i="37"/>
  <c r="U8" i="39"/>
  <c r="AB8" i="39"/>
  <c r="AB38" i="40"/>
  <c r="U38" i="40"/>
  <c r="BL544" i="3"/>
  <c r="BL542" i="3"/>
  <c r="AZ542" i="3" s="1"/>
  <c r="BA538" i="3"/>
  <c r="AZ538" i="3" s="1"/>
  <c r="BA534" i="3"/>
  <c r="AZ534" i="3" s="1"/>
  <c r="BL532" i="3"/>
  <c r="AZ532" i="3" s="1"/>
  <c r="BA530" i="3"/>
  <c r="AZ530" i="3" s="1"/>
  <c r="BL526" i="3"/>
  <c r="BL524" i="3"/>
  <c r="AZ524" i="3" s="1"/>
  <c r="BA522" i="3"/>
  <c r="AZ522" i="3" s="1"/>
  <c r="BA514" i="3"/>
  <c r="AZ514" i="3" s="1"/>
  <c r="BL506" i="3"/>
  <c r="AZ506" i="3" s="1"/>
  <c r="BL504" i="3"/>
  <c r="AZ504" i="3" s="1"/>
  <c r="AZ535" i="3"/>
  <c r="AZ557" i="3"/>
  <c r="AZ513" i="3"/>
  <c r="AZ575" i="3"/>
  <c r="AZ552" i="3"/>
  <c r="U9" i="40"/>
  <c r="B72" i="43"/>
  <c r="C15" i="39"/>
  <c r="J12" i="34"/>
  <c r="H12" i="34"/>
  <c r="H23" i="36"/>
  <c r="F23" i="36"/>
  <c r="J43" i="39"/>
  <c r="H43" i="39"/>
  <c r="BL580" i="3"/>
  <c r="AZ580" i="3" s="1"/>
  <c r="BA576" i="3"/>
  <c r="AZ576" i="3" s="1"/>
  <c r="BA568" i="3"/>
  <c r="AZ568" i="3" s="1"/>
  <c r="BL566" i="3"/>
  <c r="AZ566" i="3" s="1"/>
  <c r="BL564" i="3"/>
  <c r="AZ564" i="3" s="1"/>
  <c r="BA560" i="3"/>
  <c r="AZ560" i="3" s="1"/>
  <c r="BA551" i="3"/>
  <c r="AZ551" i="3" s="1"/>
  <c r="BA550" i="3"/>
  <c r="AZ550" i="3" s="1"/>
  <c r="BL548" i="3"/>
  <c r="AZ548" i="3" s="1"/>
  <c r="W31" i="40"/>
  <c r="AA9" i="40"/>
  <c r="F26" i="33"/>
  <c r="AA41" i="21"/>
  <c r="G587" i="3"/>
  <c r="H12" i="36"/>
  <c r="H39" i="40"/>
  <c r="G551" i="3"/>
  <c r="BL550" i="3"/>
  <c r="G542" i="3"/>
  <c r="S40" i="39"/>
  <c r="S38" i="39"/>
  <c r="BL585" i="3"/>
  <c r="BL401" i="3"/>
  <c r="AZ401" i="3" s="1"/>
  <c r="G404" i="3"/>
  <c r="BL404" i="3"/>
  <c r="AZ404" i="3" s="1"/>
  <c r="BL405" i="3"/>
  <c r="AZ405" i="3" s="1"/>
  <c r="BL409" i="3"/>
  <c r="BA420" i="3"/>
  <c r="BL430" i="3"/>
  <c r="BA443" i="3"/>
  <c r="G448" i="3"/>
  <c r="BL448" i="3"/>
  <c r="G450" i="3"/>
  <c r="BA456" i="3"/>
  <c r="BA457" i="3"/>
  <c r="BA462" i="3"/>
  <c r="AZ462" i="3" s="1"/>
  <c r="G466" i="3"/>
  <c r="BL466" i="3"/>
  <c r="G468" i="3"/>
  <c r="BL479" i="3"/>
  <c r="G480" i="3"/>
  <c r="BL480" i="3"/>
  <c r="G482" i="3"/>
  <c r="BA483" i="3"/>
  <c r="BL483" i="3"/>
  <c r="AZ483" i="3" s="1"/>
  <c r="BL488" i="3"/>
  <c r="G574" i="3"/>
  <c r="AZ400" i="3"/>
  <c r="AZ415" i="3"/>
  <c r="AZ425" i="3"/>
  <c r="AZ448" i="3"/>
  <c r="AZ460" i="3"/>
  <c r="AZ466" i="3"/>
  <c r="AZ480" i="3"/>
  <c r="AZ228" i="3"/>
  <c r="BA403" i="3"/>
  <c r="G409" i="3"/>
  <c r="AZ413" i="3"/>
  <c r="G419" i="3"/>
  <c r="G430" i="3"/>
  <c r="BA441" i="3"/>
  <c r="AZ441" i="3" s="1"/>
  <c r="G444" i="3"/>
  <c r="BL444" i="3"/>
  <c r="BA452" i="3"/>
  <c r="AZ454" i="3"/>
  <c r="BA459" i="3"/>
  <c r="G464" i="3"/>
  <c r="BL464" i="3"/>
  <c r="BA470" i="3"/>
  <c r="BL473" i="3"/>
  <c r="AZ473" i="3" s="1"/>
  <c r="BL474" i="3"/>
  <c r="BA487" i="3"/>
  <c r="AZ487" i="3" s="1"/>
  <c r="G14" i="3"/>
  <c r="BL16" i="3"/>
  <c r="AZ16" i="3" s="1"/>
  <c r="BA402" i="3"/>
  <c r="AZ402" i="3" s="1"/>
  <c r="BA406" i="3"/>
  <c r="AZ406" i="3" s="1"/>
  <c r="BA410" i="3"/>
  <c r="BA412" i="3"/>
  <c r="AZ412" i="3" s="1"/>
  <c r="BA421" i="3"/>
  <c r="BA423" i="3"/>
  <c r="AZ423" i="3" s="1"/>
  <c r="BA431" i="3"/>
  <c r="BA433" i="3"/>
  <c r="AZ433" i="3" s="1"/>
  <c r="BA435" i="3"/>
  <c r="BL437" i="3"/>
  <c r="AZ437" i="3" s="1"/>
  <c r="G439" i="3"/>
  <c r="BL443" i="3"/>
  <c r="AZ444" i="3"/>
  <c r="BL445" i="3"/>
  <c r="BL446" i="3"/>
  <c r="BL451" i="3"/>
  <c r="AZ451" i="3" s="1"/>
  <c r="G455" i="3"/>
  <c r="BA458" i="3"/>
  <c r="AZ458" i="3" s="1"/>
  <c r="AZ464" i="3"/>
  <c r="BL469" i="3"/>
  <c r="AZ469" i="3" s="1"/>
  <c r="BA486" i="3"/>
  <c r="G489" i="3"/>
  <c r="BL489" i="3"/>
  <c r="AZ270" i="3"/>
  <c r="AZ201" i="3"/>
  <c r="AZ27" i="3"/>
  <c r="F40" i="69"/>
  <c r="C40" i="69"/>
  <c r="C64" i="71"/>
  <c r="D63" i="71"/>
  <c r="Y26" i="71"/>
  <c r="Z26" i="71" s="1"/>
  <c r="Y25" i="71"/>
  <c r="Z25" i="71" s="1"/>
  <c r="BA303" i="3"/>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BL238" i="3"/>
  <c r="BL243" i="3"/>
  <c r="BA247" i="3"/>
  <c r="BL247" i="3"/>
  <c r="BA249" i="3"/>
  <c r="AZ249" i="3" s="1"/>
  <c r="BL249" i="3"/>
  <c r="BA251" i="3"/>
  <c r="BL251" i="3"/>
  <c r="BA253" i="3"/>
  <c r="BL260" i="3"/>
  <c r="BL263" i="3"/>
  <c r="BL270" i="3"/>
  <c r="BA272" i="3"/>
  <c r="AZ272" i="3" s="1"/>
  <c r="BL275" i="3"/>
  <c r="AZ275" i="3" s="1"/>
  <c r="BL285" i="3"/>
  <c r="BL287" i="3"/>
  <c r="BA290" i="3"/>
  <c r="AZ290" i="3" s="1"/>
  <c r="BL299" i="3"/>
  <c r="BL113" i="3"/>
  <c r="BL115" i="3"/>
  <c r="AZ115" i="3" s="1"/>
  <c r="BA118" i="3"/>
  <c r="AZ118" i="3" s="1"/>
  <c r="BL118" i="3"/>
  <c r="BA122" i="3"/>
  <c r="AZ122" i="3" s="1"/>
  <c r="BL125" i="3"/>
  <c r="AZ125" i="3" s="1"/>
  <c r="BL126" i="3"/>
  <c r="BA144" i="3"/>
  <c r="AZ144" i="3" s="1"/>
  <c r="BA153" i="3"/>
  <c r="BL155" i="3"/>
  <c r="AZ155" i="3" s="1"/>
  <c r="BL162" i="3"/>
  <c r="BL185" i="3"/>
  <c r="T32" i="71"/>
  <c r="D32" i="71"/>
  <c r="X33" i="71"/>
  <c r="X34" i="71"/>
  <c r="X26" i="71"/>
  <c r="X36" i="71"/>
  <c r="X35" i="71"/>
  <c r="AB37" i="71"/>
  <c r="AB35" i="71"/>
  <c r="F38" i="71"/>
  <c r="F39" i="71" s="1"/>
  <c r="F40" i="71" s="1"/>
  <c r="V40" i="71" s="1"/>
  <c r="AB32" i="71"/>
  <c r="AB27" i="71"/>
  <c r="C47" i="71"/>
  <c r="D47" i="71" s="1"/>
  <c r="D46" i="71"/>
  <c r="G399" i="3"/>
  <c r="BL400" i="3"/>
  <c r="BL408" i="3"/>
  <c r="BL411" i="3"/>
  <c r="BL413" i="3"/>
  <c r="G416" i="3"/>
  <c r="BL417" i="3"/>
  <c r="BL418" i="3"/>
  <c r="AZ418" i="3" s="1"/>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AZ273" i="3" s="1"/>
  <c r="BA277" i="3"/>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BA174" i="3"/>
  <c r="BA182" i="3"/>
  <c r="AZ182" i="3" s="1"/>
  <c r="AZ64" i="3"/>
  <c r="AZ70" i="3"/>
  <c r="C51" i="71"/>
  <c r="BL398" i="3"/>
  <c r="AZ398" i="3" s="1"/>
  <c r="G402" i="3"/>
  <c r="BL403" i="3"/>
  <c r="G405" i="3"/>
  <c r="G406" i="3"/>
  <c r="BA408" i="3"/>
  <c r="BA409" i="3"/>
  <c r="AZ409" i="3" s="1"/>
  <c r="BA411" i="3"/>
  <c r="AZ411" i="3" s="1"/>
  <c r="BL414" i="3"/>
  <c r="AZ414" i="3" s="1"/>
  <c r="BL415" i="3"/>
  <c r="BA417" i="3"/>
  <c r="BL421" i="3"/>
  <c r="BL422" i="3"/>
  <c r="AZ422" i="3" s="1"/>
  <c r="BL425" i="3"/>
  <c r="BL426" i="3"/>
  <c r="BA428" i="3"/>
  <c r="AZ428" i="3" s="1"/>
  <c r="BA429" i="3"/>
  <c r="AZ429" i="3" s="1"/>
  <c r="BA430" i="3"/>
  <c r="BA432" i="3"/>
  <c r="BA434" i="3"/>
  <c r="BA436" i="3"/>
  <c r="AZ436" i="3" s="1"/>
  <c r="BA438" i="3"/>
  <c r="G442" i="3"/>
  <c r="G443" i="3"/>
  <c r="BA446" i="3"/>
  <c r="AZ446" i="3" s="1"/>
  <c r="BA450" i="3"/>
  <c r="BA453" i="3"/>
  <c r="AZ453" i="3" s="1"/>
  <c r="BA455" i="3"/>
  <c r="AZ455" i="3" s="1"/>
  <c r="BL457" i="3"/>
  <c r="BL460" i="3"/>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AZ276" i="3" s="1"/>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BA162" i="3"/>
  <c r="BA164" i="3"/>
  <c r="AZ164" i="3" s="1"/>
  <c r="BA166" i="3"/>
  <c r="AZ166" i="3" s="1"/>
  <c r="BL170" i="3"/>
  <c r="BA173" i="3"/>
  <c r="AZ173" i="3" s="1"/>
  <c r="BA177" i="3"/>
  <c r="BL179" i="3"/>
  <c r="AZ179" i="3" s="1"/>
  <c r="BA43" i="3"/>
  <c r="AZ62" i="3"/>
  <c r="B13" i="1"/>
  <c r="E13" i="1" s="1"/>
  <c r="K13" i="1"/>
  <c r="M13" i="1" s="1"/>
  <c r="O13" i="1" s="1"/>
  <c r="P13" i="1" s="1"/>
  <c r="U21" i="33"/>
  <c r="AB21" i="33"/>
  <c r="C55" i="71"/>
  <c r="D54"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G55" i="3"/>
  <c r="BL56" i="3"/>
  <c r="AZ56" i="3" s="1"/>
  <c r="BA58" i="3"/>
  <c r="BL59" i="3"/>
  <c r="AZ59" i="3" s="1"/>
  <c r="BL60" i="3"/>
  <c r="BA61" i="3"/>
  <c r="AZ61" i="3" s="1"/>
  <c r="BA68" i="3"/>
  <c r="BA73" i="3"/>
  <c r="G81" i="3"/>
  <c r="BL85" i="3"/>
  <c r="BA86" i="3"/>
  <c r="BL97" i="3"/>
  <c r="AZ97" i="3" s="1"/>
  <c r="G103" i="3"/>
  <c r="BA103" i="3"/>
  <c r="AZ103" i="3" s="1"/>
  <c r="BA104" i="3"/>
  <c r="BA106" i="3"/>
  <c r="BL108" i="3"/>
  <c r="AZ108" i="3" s="1"/>
  <c r="W21" i="37"/>
  <c r="AC21" i="37"/>
  <c r="U21" i="37"/>
  <c r="AB25" i="71"/>
  <c r="AB28" i="71"/>
  <c r="AB26" i="71"/>
  <c r="Y30" i="71"/>
  <c r="Z30" i="71" s="1"/>
  <c r="C34" i="71"/>
  <c r="Y28" i="71"/>
  <c r="Z28" i="71" s="1"/>
  <c r="C23" i="71"/>
  <c r="B22" i="71"/>
  <c r="B21" i="71" s="1"/>
  <c r="B20" i="71" s="1"/>
  <c r="AA3" i="71"/>
  <c r="BL177" i="3"/>
  <c r="BL183" i="3"/>
  <c r="AZ183" i="3" s="1"/>
  <c r="BA186" i="3"/>
  <c r="AZ186" i="3" s="1"/>
  <c r="BA190" i="3"/>
  <c r="AZ190" i="3" s="1"/>
  <c r="BA197" i="3"/>
  <c r="AZ197" i="3" s="1"/>
  <c r="BL201" i="3"/>
  <c r="BL203" i="3"/>
  <c r="AZ203" i="3" s="1"/>
  <c r="BA204" i="3"/>
  <c r="AZ204" i="3" s="1"/>
  <c r="BA18" i="3"/>
  <c r="AZ18" i="3" s="1"/>
  <c r="BL21" i="3"/>
  <c r="G23" i="3"/>
  <c r="BL29" i="3"/>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BL74" i="3"/>
  <c r="AZ74" i="3" s="1"/>
  <c r="BL75" i="3"/>
  <c r="BA80" i="3"/>
  <c r="BL84" i="3"/>
  <c r="BA90" i="3"/>
  <c r="BA109" i="3"/>
  <c r="BA111" i="3"/>
  <c r="AZ111" i="3" s="1"/>
  <c r="W21" i="21"/>
  <c r="T44" i="71"/>
  <c r="P65" i="71"/>
  <c r="P66" i="71"/>
  <c r="F28" i="71"/>
  <c r="F27" i="71" s="1"/>
  <c r="F26" i="71" s="1"/>
  <c r="T40" i="71"/>
  <c r="D40" i="71"/>
  <c r="E39" i="71"/>
  <c r="E40" i="71" s="1"/>
  <c r="U40" i="71" s="1"/>
  <c r="E59" i="71"/>
  <c r="E60" i="71" s="1"/>
  <c r="U60" i="71" s="1"/>
  <c r="T76" i="71"/>
  <c r="D76" i="71"/>
  <c r="C75" i="71"/>
  <c r="G159" i="3"/>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L67" i="3"/>
  <c r="AZ67" i="3" s="1"/>
  <c r="G69" i="3"/>
  <c r="G70" i="3"/>
  <c r="BL70" i="3"/>
  <c r="BL71" i="3"/>
  <c r="BL72" i="3"/>
  <c r="AZ72" i="3" s="1"/>
  <c r="G74" i="3"/>
  <c r="BA75" i="3"/>
  <c r="BL86" i="3"/>
  <c r="G87" i="3"/>
  <c r="BA91" i="3"/>
  <c r="AZ91" i="3" s="1"/>
  <c r="BA98" i="3"/>
  <c r="BA100" i="3"/>
  <c r="AZ100" i="3" s="1"/>
  <c r="BA102" i="3"/>
  <c r="AZ102" i="3" s="1"/>
  <c r="BL105" i="3"/>
  <c r="AZ105" i="3" s="1"/>
  <c r="G107" i="3"/>
  <c r="BL107" i="3"/>
  <c r="BA110" i="3"/>
  <c r="AZ110" i="3" s="1"/>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BA264" i="3"/>
  <c r="AZ264" i="3" s="1"/>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D103" i="9"/>
  <c r="C27" i="67"/>
  <c r="C27" i="15"/>
  <c r="F65" i="15"/>
  <c r="G20" i="9"/>
  <c r="C103" i="9"/>
  <c r="B13" i="70"/>
  <c r="F68" i="67"/>
  <c r="F64" i="67"/>
  <c r="F68" i="15"/>
  <c r="C36" i="68"/>
  <c r="D9" i="69"/>
  <c r="F27" i="69"/>
  <c r="C36" i="69"/>
  <c r="D9" i="68"/>
  <c r="F9" i="67"/>
  <c r="M23" i="67"/>
  <c r="M22" i="67"/>
  <c r="F43" i="67"/>
  <c r="F8" i="67"/>
  <c r="D7" i="73"/>
  <c r="M29" i="67"/>
  <c r="M24" i="67"/>
  <c r="L47" i="67"/>
  <c r="M6" i="67"/>
  <c r="F38" i="67"/>
  <c r="D4" i="73"/>
  <c r="F37" i="67"/>
  <c r="L48" i="67"/>
  <c r="M26" i="67"/>
  <c r="F6" i="67"/>
  <c r="D3" i="73"/>
  <c r="D5" i="73"/>
  <c r="C16" i="15"/>
  <c r="F13" i="67"/>
  <c r="J15" i="67"/>
  <c r="F7" i="67"/>
  <c r="F42" i="67"/>
  <c r="S32" i="21" l="1"/>
  <c r="U32" i="21"/>
  <c r="S37" i="21"/>
  <c r="U45" i="21"/>
  <c r="AB45" i="21"/>
  <c r="M7" i="67"/>
  <c r="J6" i="67" s="1"/>
  <c r="J18" i="67" s="1"/>
  <c r="F50" i="67"/>
  <c r="F31" i="67"/>
  <c r="C6" i="67"/>
  <c r="C32" i="67" s="1"/>
  <c r="J57" i="67"/>
  <c r="J55" i="67" s="1"/>
  <c r="J58" i="67" s="1"/>
  <c r="Q50" i="67" s="1"/>
  <c r="L56" i="67"/>
  <c r="I54" i="67"/>
  <c r="J53" i="67"/>
  <c r="F1" i="67" s="1"/>
  <c r="F65" i="67"/>
  <c r="F66" i="67"/>
  <c r="L59" i="67"/>
  <c r="Q61" i="67" s="1"/>
  <c r="L58" i="67"/>
  <c r="Q73" i="67" s="1"/>
  <c r="N59" i="67"/>
  <c r="M59" i="67"/>
  <c r="F51" i="67"/>
  <c r="F71" i="67"/>
  <c r="AZ459" i="3"/>
  <c r="AB39" i="40"/>
  <c r="U39" i="40"/>
  <c r="S26" i="33"/>
  <c r="AA26" i="33"/>
  <c r="U43" i="39"/>
  <c r="AB43" i="39"/>
  <c r="U12" i="34"/>
  <c r="AB12" i="34"/>
  <c r="AA25" i="37"/>
  <c r="S25" i="37"/>
  <c r="AB9" i="34"/>
  <c r="U9" i="34"/>
  <c r="AA31" i="39"/>
  <c r="S31" i="39"/>
  <c r="S12" i="39"/>
  <c r="AA12" i="39"/>
  <c r="AZ585" i="3"/>
  <c r="E26" i="43"/>
  <c r="H26" i="43"/>
  <c r="AZ261" i="3"/>
  <c r="C26" i="71"/>
  <c r="D26" i="71" s="1"/>
  <c r="D27" i="71"/>
  <c r="AZ84" i="3"/>
  <c r="D67" i="71"/>
  <c r="C66" i="71"/>
  <c r="O67" i="71"/>
  <c r="D75" i="71"/>
  <c r="C74" i="71"/>
  <c r="D74" i="71" s="1"/>
  <c r="AZ57" i="3"/>
  <c r="D34" i="71"/>
  <c r="C35" i="71"/>
  <c r="C56" i="71"/>
  <c r="D55" i="71"/>
  <c r="AZ177" i="3"/>
  <c r="AZ353" i="3"/>
  <c r="C52" i="71"/>
  <c r="D51" i="71"/>
  <c r="AZ297" i="3"/>
  <c r="AZ256" i="3"/>
  <c r="U12" i="36"/>
  <c r="AB12" i="36"/>
  <c r="W43" i="39"/>
  <c r="AC43" i="39"/>
  <c r="W12" i="34"/>
  <c r="AC12" i="34"/>
  <c r="AC25" i="37"/>
  <c r="W25" i="37"/>
  <c r="AC9" i="34"/>
  <c r="W9" i="34"/>
  <c r="AB31" i="39"/>
  <c r="U31" i="39"/>
  <c r="U14" i="21"/>
  <c r="AB14" i="21"/>
  <c r="AZ112" i="3"/>
  <c r="G5" i="3"/>
  <c r="B3" i="3" s="1"/>
  <c r="E536" i="3" s="1"/>
  <c r="AZ253" i="3"/>
  <c r="AZ348" i="3"/>
  <c r="AZ317" i="3"/>
  <c r="AZ29" i="3"/>
  <c r="B19" i="71"/>
  <c r="B18" i="71" s="1"/>
  <c r="B17" i="71" s="1"/>
  <c r="B16" i="71" s="1"/>
  <c r="S20" i="71"/>
  <c r="AZ51" i="3"/>
  <c r="AZ162" i="3"/>
  <c r="AZ121" i="3"/>
  <c r="AZ274" i="3"/>
  <c r="AZ223" i="3"/>
  <c r="AZ432" i="3"/>
  <c r="AZ417" i="3"/>
  <c r="AZ277" i="3"/>
  <c r="AZ244" i="3"/>
  <c r="AZ239" i="3"/>
  <c r="AZ397" i="3"/>
  <c r="AZ251" i="3"/>
  <c r="AZ247" i="3"/>
  <c r="AZ229" i="3"/>
  <c r="AZ332" i="3"/>
  <c r="AZ403" i="3"/>
  <c r="AZ457" i="3"/>
  <c r="AA23" i="36"/>
  <c r="S23" i="36"/>
  <c r="AA14" i="40"/>
  <c r="S14" i="40"/>
  <c r="S14" i="21"/>
  <c r="AA14" i="21"/>
  <c r="J7" i="36"/>
  <c r="N94" i="46"/>
  <c r="AZ26" i="3"/>
  <c r="AZ266" i="3"/>
  <c r="AZ246" i="3"/>
  <c r="AZ268" i="3"/>
  <c r="G16" i="1"/>
  <c r="F10" i="39" s="1"/>
  <c r="AA10" i="39" s="1"/>
  <c r="AZ71" i="3"/>
  <c r="AZ75" i="3"/>
  <c r="AZ39" i="3"/>
  <c r="C22" i="71"/>
  <c r="D23" i="71"/>
  <c r="AZ86" i="3"/>
  <c r="AZ58" i="3"/>
  <c r="AZ49" i="3"/>
  <c r="AZ126" i="3"/>
  <c r="AZ263" i="3"/>
  <c r="AZ368" i="3"/>
  <c r="AZ430" i="3"/>
  <c r="AZ408" i="3"/>
  <c r="AZ435" i="3"/>
  <c r="AZ421" i="3"/>
  <c r="AZ443" i="3"/>
  <c r="AB23" i="36"/>
  <c r="U23" i="36"/>
  <c r="W14" i="21"/>
  <c r="AC14" i="21"/>
  <c r="J7" i="37"/>
  <c r="K1" i="73"/>
  <c r="E510" i="3"/>
  <c r="E539" i="3"/>
  <c r="E199" i="3"/>
  <c r="E286" i="3"/>
  <c r="R6" i="3"/>
  <c r="E502" i="3"/>
  <c r="E541" i="3"/>
  <c r="E430" i="3"/>
  <c r="I3" i="6"/>
  <c r="AP6" i="3"/>
  <c r="E435" i="3"/>
  <c r="E491" i="3"/>
  <c r="E56" i="3"/>
  <c r="E37" i="3"/>
  <c r="E192" i="3"/>
  <c r="E258" i="3"/>
  <c r="E363" i="3"/>
  <c r="E349" i="3"/>
  <c r="E76" i="3"/>
  <c r="E59" i="3"/>
  <c r="E425" i="3"/>
  <c r="E467" i="3"/>
  <c r="E103" i="3"/>
  <c r="E160" i="3"/>
  <c r="E300" i="3"/>
  <c r="E371" i="3"/>
  <c r="E23" i="3"/>
  <c r="E84" i="3"/>
  <c r="E144" i="3"/>
  <c r="E184" i="3"/>
  <c r="E381" i="3"/>
  <c r="E68" i="3"/>
  <c r="E264" i="3"/>
  <c r="E283" i="3"/>
  <c r="E21" i="3"/>
  <c r="E494" i="3"/>
  <c r="E332" i="3"/>
  <c r="E391" i="3"/>
  <c r="E75" i="3"/>
  <c r="E482" i="3"/>
  <c r="E129" i="3"/>
  <c r="E174" i="3"/>
  <c r="E522" i="3"/>
  <c r="E86" i="3"/>
  <c r="E251" i="3"/>
  <c r="AF6" i="3"/>
  <c r="E287" i="3"/>
  <c r="E308" i="3"/>
  <c r="E140" i="3"/>
  <c r="E197" i="3"/>
  <c r="E534" i="3"/>
  <c r="T6" i="3"/>
  <c r="E469" i="3"/>
  <c r="E512" i="3"/>
  <c r="E360" i="3"/>
  <c r="E556" i="3"/>
  <c r="E452" i="3"/>
  <c r="E470" i="3"/>
  <c r="E104" i="3"/>
  <c r="E41" i="3"/>
  <c r="E243" i="3"/>
  <c r="E356" i="3"/>
  <c r="E78" i="3"/>
  <c r="E190" i="3"/>
  <c r="E342" i="3"/>
  <c r="E35" i="3"/>
  <c r="E370" i="3"/>
  <c r="E80" i="3"/>
  <c r="E83" i="3"/>
  <c r="E329" i="3"/>
  <c r="E223" i="3"/>
  <c r="E116" i="3"/>
  <c r="E493" i="3"/>
  <c r="E564" i="3"/>
  <c r="E486" i="3"/>
  <c r="E507" i="3"/>
  <c r="E490" i="3"/>
  <c r="E376" i="3"/>
  <c r="E498" i="3"/>
  <c r="E419" i="3"/>
  <c r="E40" i="3"/>
  <c r="E25" i="3"/>
  <c r="E202" i="3"/>
  <c r="E226" i="3"/>
  <c r="E333" i="3"/>
  <c r="E372" i="3"/>
  <c r="E43" i="3"/>
  <c r="E540" i="3"/>
  <c r="E455" i="3"/>
  <c r="E79" i="3"/>
  <c r="E137" i="3"/>
  <c r="E194" i="3"/>
  <c r="E339" i="3"/>
  <c r="E325" i="3"/>
  <c r="E52" i="3"/>
  <c r="E36" i="3"/>
  <c r="E147" i="3"/>
  <c r="E289" i="3"/>
  <c r="E50" i="3"/>
  <c r="E20" i="3"/>
  <c r="E218" i="3"/>
  <c r="E265" i="3"/>
  <c r="E101" i="3"/>
  <c r="E165" i="3"/>
  <c r="E398" i="3"/>
  <c r="E566" i="3"/>
  <c r="E155" i="3"/>
  <c r="E348" i="3"/>
  <c r="E65" i="3"/>
  <c r="E386" i="3"/>
  <c r="E51" i="3"/>
  <c r="E222" i="3"/>
  <c r="E421" i="3"/>
  <c r="E416" i="3"/>
  <c r="E57" i="3"/>
  <c r="E110" i="3"/>
  <c r="E209" i="3"/>
  <c r="E354" i="3"/>
  <c r="E19" i="3"/>
  <c r="E323" i="3"/>
  <c r="E582" i="3"/>
  <c r="E436" i="3"/>
  <c r="E47" i="3"/>
  <c r="E266" i="3"/>
  <c r="E373" i="3"/>
  <c r="E542" i="3"/>
  <c r="E259" i="3"/>
  <c r="E462" i="3"/>
  <c r="Y6" i="3"/>
  <c r="E179" i="3"/>
  <c r="E488" i="3"/>
  <c r="E195" i="3"/>
  <c r="E167" i="3"/>
  <c r="E413" i="3"/>
  <c r="E98" i="3"/>
  <c r="E307" i="3"/>
  <c r="E122" i="3"/>
  <c r="E461" i="3"/>
  <c r="E306" i="3"/>
  <c r="E157" i="3"/>
  <c r="E532" i="3"/>
  <c r="E529" i="3"/>
  <c r="E288" i="3"/>
  <c r="W6" i="3"/>
  <c r="E475" i="3"/>
  <c r="E54" i="3"/>
  <c r="E257" i="3"/>
  <c r="E357" i="3"/>
  <c r="E397" i="3"/>
  <c r="E196" i="3"/>
  <c r="E379" i="3"/>
  <c r="U6" i="3"/>
  <c r="E432" i="3"/>
  <c r="E367" i="3"/>
  <c r="E546" i="3"/>
  <c r="E71" i="3"/>
  <c r="E272" i="3"/>
  <c r="E291" i="3"/>
  <c r="E29" i="3"/>
  <c r="E53" i="3"/>
  <c r="E153" i="3"/>
  <c r="E426" i="3"/>
  <c r="E574" i="3"/>
  <c r="E359" i="3"/>
  <c r="E390" i="3"/>
  <c r="S6" i="3"/>
  <c r="E418" i="3"/>
  <c r="E338" i="3"/>
  <c r="E169" i="3"/>
  <c r="E237"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H10" i="39"/>
  <c r="U10" i="39" s="1"/>
  <c r="D26" i="43"/>
  <c r="C25" i="43" s="1"/>
  <c r="C7" i="43"/>
  <c r="C5" i="43" s="1"/>
  <c r="D10" i="52"/>
  <c r="D125" i="9"/>
  <c r="D11" i="52" s="1"/>
  <c r="B7" i="74"/>
  <c r="C7" i="74" s="1"/>
  <c r="F67" i="39"/>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74" i="15"/>
  <c r="Q61" i="15"/>
  <c r="AE11" i="1"/>
  <c r="AE6" i="1"/>
  <c r="AE9" i="1"/>
  <c r="F27" i="68"/>
  <c r="AE7" i="1"/>
  <c r="AE8" i="1"/>
  <c r="AE12" i="1"/>
  <c r="AE10" i="1"/>
  <c r="G1" i="73"/>
  <c r="F41" i="67"/>
  <c r="C16" i="67"/>
  <c r="Q74" i="67" l="1"/>
  <c r="F59" i="67"/>
  <c r="M17" i="67"/>
  <c r="J5" i="67"/>
  <c r="J24" i="67" s="1"/>
  <c r="C49" i="67"/>
  <c r="Q52" i="67"/>
  <c r="Q60" i="67"/>
  <c r="H10" i="40"/>
  <c r="AB10" i="40" s="1"/>
  <c r="J10" i="40"/>
  <c r="AC10" i="40" s="1"/>
  <c r="J10" i="39"/>
  <c r="W10" i="39" s="1"/>
  <c r="F10" i="40"/>
  <c r="S10" i="40" s="1"/>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T52" i="71"/>
  <c r="D52" i="71"/>
  <c r="D56" i="71"/>
  <c r="T56" i="71"/>
  <c r="C21" i="71"/>
  <c r="D22"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C48" i="67" l="1"/>
  <c r="F22" i="11"/>
  <c r="C24" i="11" s="1"/>
  <c r="F22" i="69"/>
  <c r="F41" i="69" s="1"/>
  <c r="F24" i="15"/>
  <c r="C24" i="15" s="1"/>
  <c r="F22" i="68"/>
  <c r="C23" i="68" s="1"/>
  <c r="F25" i="12"/>
  <c r="C26" i="12" s="1"/>
  <c r="D25" i="12" s="1"/>
  <c r="F24" i="67"/>
  <c r="C24" i="67" s="1"/>
  <c r="AA10" i="40"/>
  <c r="D36" i="71"/>
  <c r="T36" i="7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4" i="67"/>
  <c r="C17" i="15"/>
  <c r="C26" i="69" l="1"/>
  <c r="D22" i="69" s="1"/>
  <c r="C23" i="11"/>
  <c r="C26" i="11"/>
  <c r="D22" i="11" s="1"/>
  <c r="C25" i="11"/>
  <c r="C44" i="11"/>
  <c r="D41" i="11" s="1"/>
  <c r="C44" i="68"/>
  <c r="D41" i="68" s="1"/>
  <c r="C44" i="69"/>
  <c r="D41" i="69" s="1"/>
  <c r="C26" i="68"/>
  <c r="D22" i="68" s="1"/>
  <c r="T20" i="71"/>
  <c r="D20" i="71"/>
  <c r="U20" i="71" s="1"/>
  <c r="C19"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71" l="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I50"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G50"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2" i="21" l="1"/>
  <c r="F52" i="21" s="1"/>
  <c r="E50" i="21"/>
  <c r="C50" i="21" s="1"/>
  <c r="C51" i="21" s="1"/>
  <c r="E53" i="2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6" i="1"/>
  <c r="AO7" i="1"/>
  <c r="AO9"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52" i="9"/>
  <c r="D53" i="9"/>
  <c r="C104" i="9"/>
  <c r="H4" i="52"/>
  <c r="I4" i="52"/>
  <c r="C105" i="9"/>
  <c r="M55" i="9"/>
  <c r="D8" i="52"/>
  <c r="B51" i="72"/>
  <c r="D59" i="9"/>
  <c r="B49" i="72"/>
  <c r="B21" i="72"/>
  <c r="C6" i="74"/>
  <c r="M54" i="9"/>
  <c r="D56" i="9"/>
  <c r="C93" i="9"/>
  <c r="C86" i="9"/>
  <c r="D122" i="9"/>
  <c r="D123" i="9"/>
  <c r="D9" i="52"/>
  <c r="B30" i="72"/>
  <c r="N58" i="9"/>
  <c r="P57" i="9"/>
  <c r="B20" i="72"/>
  <c r="C68" i="9"/>
  <c r="D54" i="9"/>
  <c r="D4" i="52"/>
  <c r="B47" i="72"/>
  <c r="F4" i="52"/>
  <c r="F119" i="9"/>
  <c r="F5" i="52"/>
  <c r="B53" i="72"/>
  <c r="H108" i="9"/>
  <c r="D15" i="53"/>
  <c r="B31" i="72"/>
  <c r="E97" i="9"/>
  <c r="M48" i="9"/>
  <c r="N60" i="9"/>
  <c r="D55" i="9"/>
  <c r="M53" i="9"/>
  <c r="N57" i="9"/>
  <c r="N59" i="9"/>
  <c r="N61" i="9"/>
  <c r="E81" i="9"/>
  <c r="C78" i="9"/>
  <c r="C73" i="9"/>
  <c r="C67" i="9"/>
  <c r="C96" i="9"/>
  <c r="E96" i="9"/>
  <c r="E4" i="52"/>
  <c r="B48" i="72"/>
  <c r="D5" i="53"/>
  <c r="D6" i="53"/>
  <c r="B22" i="72"/>
  <c r="F118" i="9"/>
  <c r="G118" i="9"/>
  <c r="G4" i="52"/>
  <c r="B52" i="72"/>
  <c r="C81" i="9"/>
  <c r="H107" i="9"/>
  <c r="D13" i="53"/>
  <c r="D14" i="53"/>
  <c r="B32" i="72"/>
  <c r="C64" i="9"/>
  <c r="C63" i="9"/>
  <c r="C5" i="74"/>
  <c r="H102" i="9"/>
  <c r="D7" i="53"/>
  <c r="E118" i="9"/>
  <c r="D118" i="9"/>
  <c r="D119" i="9"/>
  <c r="D5" i="52"/>
  <c r="H119" i="9"/>
  <c r="H5" i="52"/>
  <c r="C72" i="9"/>
  <c r="C79" i="9"/>
  <c r="C80" i="9"/>
  <c r="E80"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<sst xmlns="http://schemas.openxmlformats.org/spreadsheetml/2006/main" count="7819" uniqueCount="3423">
  <si>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</si>
  <si>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</si>
  <si>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</si>
  <si>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</si>
  <si>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</si>
  <si>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</si>
  <si>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</si>
  <si>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</si>
  <si>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</si>
  <si>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</si>
  <si>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</si>
  <si>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</si>
  <si>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</si>
  <si>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</si>
  <si>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</si>
  <si>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</si>
  <si>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</si>
  <si>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</si>
  <si>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</si>
  <si>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</si>
  <si>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</si>
  <si>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</si>
  <si>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</si>
  <si>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</si>
  <si>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</si>
  <si>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</si>
  <si>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</si>
  <si>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</si>
  <si>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</si>
  <si>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</si>
  <si>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</si>
  <si>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</si>
  <si>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</si>
  <si>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</si>
  <si>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</si>
  <si>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</si>
  <si>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</si>
  <si>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</si>
  <si>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</si>
  <si>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</si>
  <si>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</si>
  <si>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</si>
  <si>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</si>
  <si>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</si>
  <si>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</si>
  <si>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</si>
  <si>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</si>
  <si>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</si>
  <si>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</si>
  <si>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</si>
  <si>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</si>
  <si>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</si>
  <si>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</si>
  <si>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</si>
  <si>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</si>
  <si>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</si>
  <si>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</si>
  <si>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</si>
  <si>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</si>
  <si>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</si>
  <si>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</si>
  <si>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</si>
  <si>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</si>
  <si>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</si>
  <si>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</si>
  <si>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</si>
  <si>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</si>
  <si>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</si>
  <si>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</si>
  <si>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</si>
  <si>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</si>
  <si>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</si>
  <si>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</si>
  <si>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</si>
  <si>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</si>
  <si>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</si>
  <si>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</si>
  <si>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</si>
  <si>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</si>
  <si>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</si>
  <si>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</si>
  <si>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</si>
  <si>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</si>
  <si>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</si>
  <si>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</si>
  <si>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</si>
  <si>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</si>
  <si>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</si>
  <si>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</si>
  <si>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</si>
  <si>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</si>
  <si>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</si>
  <si>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</si>
  <si>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</si>
  <si>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</si>
  <si>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</si>
  <si>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</si>
  <si>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</si>
  <si>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</si>
  <si>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</si>
  <si>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</si>
  <si>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</si>
  <si>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</si>
  <si>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</si>
  <si>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</si>
  <si>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</si>
  <si>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</si>
  <si>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</si>
  <si>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</si>
  <si>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</si>
  <si>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</si>
  <si>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</si>
  <si>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</si>
  <si>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</si>
  <si>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</si>
  <si>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</si>
  <si>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</si>
  <si>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</si>
  <si>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</si>
  <si>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</si>
  <si>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</si>
  <si>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</si>
  <si>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</si>
  <si>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</si>
  <si>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</si>
  <si>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</si>
  <si>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</si>
  <si>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</si>
  <si>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</si>
  <si>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</si>
  <si>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</si>
  <si>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</si>
  <si>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</si>
  <si>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</si>
  <si>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</si>
  <si>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</si>
  <si>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</si>
  <si>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</si>
  <si>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</si>
  <si>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</si>
  <si>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</si>
  <si>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</si>
  <si>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</si>
  <si>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</si>
  <si>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</si>
  <si>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</si>
  <si>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</si>
  <si>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</si>
  <si>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</si>
  <si>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</si>
  <si>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</si>
  <si>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</si>
  <si>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</si>
  <si>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</si>
  <si>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</si>
  <si>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</si>
  <si>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</si>
  <si>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</si>
  <si>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</si>
  <si>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</si>
  <si>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</si>
  <si>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</si>
  <si>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</si>
  <si>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</si>
  <si>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</si>
  <si>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</si>
  <si>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</si>
  <si>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</si>
  <si>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</si>
  <si>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</si>
  <si>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</si>
  <si>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</si>
  <si>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</si>
  <si>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</si>
  <si>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</si>
  <si>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</si>
  <si>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</si>
  <si>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</si>
  <si>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</si>
  <si>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</si>
  <si>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</si>
  <si>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</si>
  <si>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</si>
  <si>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</si>
  <si>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</si>
  <si>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</si>
  <si>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</si>
  <si>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</si>
  <si>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</si>
  <si>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</si>
  <si>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</si>
  <si>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</si>
  <si>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</si>
  <si>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</si>
  <si>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</si>
  <si>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</si>
  <si>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</si>
  <si>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</si>
  <si>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</si>
  <si>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</si>
  <si>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</si>
  <si>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</si>
  <si>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</si>
  <si>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</si>
  <si>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</si>
  <si>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</si>
  <si>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</si>
  <si>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</si>
  <si>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</si>
  <si>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</si>
  <si>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</si>
  <si>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</si>
  <si>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</si>
  <si>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</si>
  <si>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</si>
  <si>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</si>
  <si>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</si>
  <si>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</si>
  <si>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</si>
  <si>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</si>
  <si>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</si>
  <si>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</si>
  <si>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</si>
  <si>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</si>
  <si>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</si>
  <si>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</si>
  <si>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</si>
  <si>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</si>
  <si>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</si>
  <si>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</si>
  <si>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</si>
  <si>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</si>
  <si>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</si>
  <si>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</si>
  <si>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</si>
  <si>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</si>
  <si>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</si>
  <si>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</si>
  <si>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</si>
  <si>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</si>
  <si>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</si>
  <si>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</si>
  <si>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</si>
  <si>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</si>
  <si>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</si>
  <si>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</si>
  <si>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</si>
  <si>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</si>
  <si>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</si>
  <si>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</si>
  <si>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</si>
  <si>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</si>
  <si>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</si>
  <si>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</si>
  <si>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</si>
  <si>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</si>
  <si>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</si>
  <si>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</si>
  <si>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</si>
  <si>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</si>
  <si>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</si>
  <si>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</si>
  <si>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</si>
  <si>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</si>
  <si>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</si>
  <si>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</si>
  <si>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</si>
  <si>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</si>
  <si>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</si>
  <si>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</si>
  <si>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</si>
  <si>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</si>
  <si>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</si>
  <si>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</si>
  <si>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</si>
  <si>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</si>
  <si>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</si>
  <si>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</si>
  <si>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</si>
  <si>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</si>
  <si>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</si>
  <si>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</si>
  <si>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</si>
  <si>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</si>
  <si>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</si>
  <si>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</si>
  <si>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</si>
  <si>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</si>
  <si>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</si>
  <si>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</si>
  <si>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</si>
  <si>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</si>
  <si>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</si>
  <si>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</si>
  <si>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</si>
  <si>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</si>
  <si>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</si>
  <si>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</si>
  <si>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</si>
  <si>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</si>
  <si>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</si>
  <si>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</si>
  <si>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</si>
  <si>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</si>
  <si>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</si>
  <si>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</si>
  <si>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</si>
  <si>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</si>
  <si>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</si>
  <si>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</si>
  <si>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</si>
  <si>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</si>
  <si>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</si>
  <si>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</si>
  <si>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</si>
  <si>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</si>
  <si>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</si>
  <si>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</si>
  <si>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</si>
  <si>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</si>
  <si>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</si>
  <si>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</si>
  <si>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</si>
  <si>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</si>
  <si>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</si>
  <si>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</si>
  <si>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</si>
  <si>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</si>
  <si>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</si>
  <si>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</si>
  <si>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</si>
  <si>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</si>
  <si>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</si>
  <si>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</si>
  <si>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</si>
  <si>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</si>
  <si>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</si>
  <si>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</si>
  <si>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</si>
  <si>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</si>
  <si>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</si>
  <si>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</si>
  <si>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</si>
  <si>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</si>
  <si>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</si>
  <si>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</si>
  <si>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</si>
  <si>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</si>
  <si>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</si>
  <si>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</si>
  <si>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</si>
  <si>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</si>
  <si>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</si>
  <si>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</si>
  <si>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</si>
  <si>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</si>
  <si>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</si>
  <si>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</si>
  <si>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</si>
  <si>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</si>
  <si>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</si>
  <si>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</si>
  <si>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</si>
  <si>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</si>
  <si>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</si>
  <si>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</si>
  <si>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</si>
  <si>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</si>
  <si>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</si>
  <si>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</si>
  <si>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</si>
  <si>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</si>
  <si>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</si>
  <si>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</si>
  <si>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</si>
  <si>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</si>
  <si>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</si>
  <si>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</si>
  <si>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</si>
  <si>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</si>
  <si>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</si>
  <si>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</si>
  <si>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</si>
  <si>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</si>
  <si>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</si>
  <si>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</si>
  <si>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</si>
  <si>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</si>
  <si>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</si>
  <si>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</si>
  <si>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</si>
  <si>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</si>
  <si>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</si>
  <si>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</si>
  <si>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</si>
  <si>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</si>
  <si>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</si>
  <si>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</si>
  <si>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</si>
  <si>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</si>
  <si>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</si>
  <si>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</si>
  <si>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</si>
  <si>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</si>
  <si>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</si>
  <si>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</si>
  <si>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</si>
  <si>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</si>
  <si>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</si>
  <si>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</si>
  <si>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</si>
  <si>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</si>
  <si>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</si>
  <si>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</si>
  <si>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</si>
  <si>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</si>
  <si>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</si>
  <si>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</si>
  <si>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</si>
  <si>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</si>
  <si>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</si>
  <si>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</si>
  <si>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</si>
  <si>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</si>
  <si>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</si>
  <si>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</si>
  <si>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</si>
  <si>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</si>
  <si>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</si>
  <si>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</si>
  <si>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</si>
  <si>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</si>
  <si>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</si>
  <si>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</si>
  <si>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</si>
  <si>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</si>
  <si>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</si>
  <si>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</si>
  <si>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</si>
  <si>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</si>
  <si>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</si>
  <si>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</si>
  <si>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</si>
  <si>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</si>
  <si>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</si>
  <si>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</si>
  <si>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</si>
  <si>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</si>
  <si>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</si>
  <si>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</si>
  <si>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</si>
  <si>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</si>
  <si>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</si>
  <si>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</si>
  <si>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</si>
  <si>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</si>
  <si>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</si>
  <si>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</si>
  <si>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</si>
  <si>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</si>
  <si>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</si>
  <si>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</si>
  <si>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</si>
  <si>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</si>
  <si>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</si>
  <si>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</si>
  <si>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</si>
  <si>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</si>
  <si>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</si>
  <si>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</si>
  <si>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</si>
  <si>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</si>
  <si>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</si>
  <si>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</si>
  <si>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</si>
  <si>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</si>
  <si>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</si>
  <si>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</si>
  <si>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</si>
  <si>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</si>
  <si>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</si>
  <si>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</si>
  <si>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</si>
  <si>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</si>
  <si>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</si>
  <si>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</si>
  <si>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</si>
  <si>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</si>
  <si>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</si>
  <si>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</si>
  <si>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</si>
  <si>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</si>
  <si>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</si>
  <si>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</si>
  <si>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</si>
  <si>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</si>
  <si>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</si>
  <si>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</si>
  <si>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</si>
  <si>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</si>
  <si>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</si>
  <si>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</si>
  <si>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</si>
  <si>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</si>
  <si>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</si>
  <si>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</si>
  <si>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</si>
  <si>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</si>
  <si>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</si>
  <si>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</si>
  <si>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</si>
  <si>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</si>
  <si>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</si>
  <si>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</si>
  <si>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</si>
  <si>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</si>
  <si>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</si>
  <si>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</si>
  <si>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</si>
  <si>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</si>
  <si>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</si>
  <si>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</si>
  <si>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</si>
  <si>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</si>
  <si>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</si>
  <si>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</si>
  <si>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</si>
  <si>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</si>
  <si>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</si>
  <si>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</si>
  <si>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</si>
  <si>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</si>
  <si>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</si>
  <si>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</si>
  <si>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</si>
  <si>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</si>
  <si>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</si>
  <si>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</si>
  <si>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</si>
  <si>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</si>
  <si>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</si>
  <si>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</si>
  <si>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</si>
  <si>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</si>
  <si>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</si>
  <si>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</si>
  <si>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</si>
  <si>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</si>
  <si>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</si>
  <si>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</si>
  <si>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</si>
  <si>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</si>
  <si>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</si>
  <si>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</si>
  <si>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</si>
  <si>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</si>
  <si>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</si>
  <si>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</si>
  <si>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</si>
  <si>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</si>
  <si>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</si>
  <si>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</si>
  <si>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</si>
  <si>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</si>
  <si>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</si>
  <si>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</si>
  <si>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</si>
  <si>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</si>
  <si>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</si>
  <si>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</si>
  <si>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</si>
  <si>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</si>
  <si>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</si>
  <si>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</si>
  <si>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</si>
  <si>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</si>
  <si>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</si>
  <si>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</si>
  <si>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</si>
  <si>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</si>
  <si>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</si>
  <si>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</si>
  <si>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</si>
  <si>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</si>
  <si>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</si>
  <si>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</si>
  <si>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</si>
  <si>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</si>
  <si>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</si>
  <si>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</si>
  <si>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</si>
  <si>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</si>
  <si>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</si>
  <si>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</si>
  <si>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</si>
  <si>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</si>
  <si>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</si>
  <si>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</si>
  <si>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</si>
  <si>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</si>
  <si>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</si>
  <si>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</si>
  <si>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</si>
  <si>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</si>
  <si>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</si>
  <si>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</si>
  <si>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</si>
  <si>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</si>
  <si>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</si>
  <si>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</si>
  <si>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</si>
  <si>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</si>
  <si>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</si>
  <si>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</si>
  <si>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</si>
  <si>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</si>
  <si>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</si>
  <si>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</si>
  <si>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</si>
  <si>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</si>
  <si>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</si>
  <si>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</si>
  <si>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</si>
  <si>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</si>
  <si>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</si>
  <si>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</si>
  <si>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</si>
  <si>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</si>
  <si>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</si>
  <si>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</si>
  <si>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</si>
  <si>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</si>
  <si>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</si>
  <si>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</si>
  <si>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</si>
  <si>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</si>
  <si>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</si>
  <si>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</si>
  <si>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</si>
  <si>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</si>
  <si>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</si>
  <si>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</si>
  <si>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</si>
  <si>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</si>
  <si>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</si>
  <si>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</si>
  <si>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</si>
  <si>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</si>
  <si>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</si>
  <si>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</si>
  <si>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</si>
  <si>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</si>
  <si>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</si>
  <si>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</si>
  <si>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</si>
  <si>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</si>
  <si>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</si>
  <si>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</si>
  <si>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</si>
  <si>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</si>
  <si>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</si>
  <si>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</si>
  <si>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</si>
  <si>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</si>
  <si>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</si>
  <si>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</si>
  <si>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</si>
  <si>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</si>
  <si>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</si>
  <si>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</si>
  <si>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</si>
  <si>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</si>
  <si>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</si>
  <si>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</si>
  <si>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</si>
  <si>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</si>
  <si>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</si>
  <si>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</si>
  <si>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</si>
  <si>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</si>
  <si>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</si>
  <si>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</si>
  <si>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</si>
  <si>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</si>
  <si>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</si>
  <si>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</si>
  <si>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</si>
  <si>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</si>
  <si>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</si>
  <si>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</si>
  <si>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</si>
  <si>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</si>
  <si>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</si>
  <si>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</si>
  <si>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</si>
  <si>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</si>
  <si>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</si>
  <si>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</si>
  <si>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</si>
  <si>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</si>
  <si>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</si>
  <si>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</si>
  <si>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</si>
  <si>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</si>
  <si>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</si>
  <si>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</si>
  <si>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</si>
  <si>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</si>
  <si>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</si>
  <si>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</si>
  <si>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</si>
  <si>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</si>
  <si>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</si>
  <si>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</si>
  <si>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</si>
  <si>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</si>
  <si>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</si>
  <si>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</si>
  <si>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</si>
  <si>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</si>
  <si>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</si>
  <si>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</si>
  <si>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</si>
  <si>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</si>
  <si>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</si>
  <si>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</si>
  <si>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</si>
  <si>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</si>
  <si>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</si>
  <si>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</si>
  <si>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</si>
  <si>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</si>
  <si>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</si>
  <si>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</si>
  <si>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</si>
  <si>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</si>
  <si>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</si>
  <si>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</si>
  <si>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</si>
  <si>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</si>
  <si>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</si>
  <si>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</si>
  <si>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</si>
  <si>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</si>
  <si>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</si>
  <si>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</si>
  <si>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</si>
  <si>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</si>
  <si>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</si>
  <si>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</si>
  <si>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</si>
  <si>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</si>
  <si>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</si>
  <si>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</si>
  <si>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</si>
  <si>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</si>
  <si>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</si>
  <si>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</si>
  <si>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</si>
  <si>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</si>
  <si>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</si>
  <si>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</si>
  <si>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</si>
  <si>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</si>
  <si>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</si>
  <si>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</si>
  <si>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</si>
  <si>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</si>
  <si>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</si>
  <si>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</si>
  <si>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</si>
  <si>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</si>
  <si>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</si>
  <si>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</si>
  <si>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</si>
  <si>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</si>
  <si>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</si>
  <si>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</si>
  <si>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</si>
  <si>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</si>
  <si>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</si>
  <si>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</si>
  <si>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</si>
  <si>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</si>
  <si>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</si>
  <si>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</si>
  <si>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</si>
  <si>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</si>
  <si>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</si>
  <si>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</si>
  <si>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</si>
  <si>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</si>
  <si>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</si>
  <si>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</si>
  <si>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</si>
  <si>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</si>
  <si>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</si>
  <si>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</si>
  <si>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</si>
  <si>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</si>
  <si>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</si>
  <si>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</si>
  <si>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</si>
  <si>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</si>
  <si>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</si>
  <si>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</si>
  <si>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</si>
  <si>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</si>
  <si>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</si>
  <si>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</si>
  <si>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</si>
  <si>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</si>
  <si>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</si>
  <si>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</si>
  <si>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</si>
  <si>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</si>
  <si>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</si>
  <si>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</si>
  <si>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</si>
  <si>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</si>
  <si>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</si>
  <si>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</si>
  <si>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</si>
  <si>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</si>
  <si>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</si>
  <si>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</si>
  <si>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</si>
  <si>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</si>
  <si>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</si>
  <si>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</si>
  <si>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</si>
  <si>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</si>
  <si>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</si>
  <si>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</si>
  <si>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</si>
  <si>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</si>
  <si>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</si>
  <si>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</si>
  <si>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</si>
  <si>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</si>
  <si>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</si>
  <si>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</si>
  <si>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</si>
  <si>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</si>
  <si>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</si>
  <si>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</si>
  <si>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</si>
  <si>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</si>
  <si>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</si>
  <si>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</si>
  <si>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</si>
  <si>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</si>
  <si>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</si>
  <si>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</si>
  <si>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</si>
  <si>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</si>
  <si>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</si>
  <si>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</si>
  <si>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</si>
  <si>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</si>
  <si>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</si>
  <si>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</si>
  <si>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</si>
  <si>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</si>
  <si>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</si>
  <si>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</si>
  <si>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</si>
  <si>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</si>
  <si>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</si>
  <si>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</si>
  <si>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</si>
  <si>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</si>
  <si>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</si>
  <si>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</si>
  <si>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</si>
  <si>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</si>
  <si>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</si>
  <si>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</si>
  <si>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</si>
  <si>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</si>
  <si>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</si>
  <si>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</si>
  <si>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</si>
  <si>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</si>
  <si>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</si>
  <si>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</si>
  <si>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</si>
  <si>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</si>
  <si>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</si>
  <si>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</si>
  <si>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</si>
  <si>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</si>
  <si>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</si>
  <si>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</si>
  <si>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</si>
  <si>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</si>
  <si>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</si>
  <si>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</si>
  <si>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</si>
  <si>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</si>
  <si>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</si>
  <si>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</si>
  <si>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</si>
  <si>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</si>
  <si>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</si>
  <si>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</si>
  <si>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</si>
  <si>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</si>
  <si>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</si>
  <si>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</si>
  <si>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</si>
  <si>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</si>
  <si>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</si>
  <si>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</si>
  <si>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</si>
  <si>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</si>
  <si>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</si>
  <si>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</si>
  <si>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</si>
  <si>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</si>
  <si>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</si>
  <si>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</si>
  <si>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</si>
  <si>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</si>
  <si>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</si>
  <si>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</si>
  <si>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</si>
  <si>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</si>
  <si>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</si>
  <si>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</si>
  <si>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</si>
  <si>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</si>
  <si>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</si>
  <si>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</si>
  <si>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</si>
  <si>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</si>
  <si>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</si>
  <si>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</si>
  <si>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</si>
  <si>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</si>
  <si>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</si>
  <si>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</si>
  <si>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</si>
  <si>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</si>
  <si>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</si>
  <si>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</si>
  <si>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</si>
  <si>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</si>
  <si>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</si>
  <si>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</si>
  <si>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</si>
  <si>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</si>
  <si>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</si>
  <si>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</si>
  <si>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</si>
  <si>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</si>
  <si>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</si>
  <si>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</si>
  <si>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</si>
  <si>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</si>
  <si>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</si>
  <si>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</si>
  <si>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</si>
  <si>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</si>
  <si>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</si>
  <si>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</si>
  <si>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</si>
  <si>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</si>
  <si>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</si>
  <si>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</si>
  <si>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</si>
  <si>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</si>
  <si>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</si>
  <si>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</si>
  <si>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</si>
  <si>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</si>
  <si>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</si>
  <si>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</si>
  <si>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</si>
  <si>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</si>
  <si>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</si>
  <si>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</si>
  <si>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</si>
  <si>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</si>
  <si>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</si>
  <si>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</si>
  <si>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</si>
  <si>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</si>
  <si>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</si>
  <si>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</si>
  <si>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</si>
  <si>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</si>
  <si>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</si>
  <si>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</si>
  <si>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</si>
  <si>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</si>
  <si>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</si>
  <si>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</si>
  <si>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</si>
  <si>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</si>
  <si>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</si>
  <si>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</si>
  <si>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</si>
  <si>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</si>
  <si>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</si>
  <si>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</si>
  <si>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</si>
  <si>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</si>
  <si>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</si>
  <si>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</si>
  <si>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</si>
  <si>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</si>
  <si>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</si>
  <si>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</si>
  <si>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</si>
  <si>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</si>
  <si>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</si>
  <si>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</si>
  <si>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</si>
  <si>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</si>
  <si>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</si>
  <si>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</si>
  <si>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</si>
  <si>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</si>
  <si>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</si>
  <si>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</si>
  <si>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</si>
  <si>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</si>
  <si>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</si>
  <si>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</si>
  <si>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</si>
  <si>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</si>
  <si>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</si>
  <si>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</si>
  <si>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</si>
  <si>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</si>
  <si>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</si>
  <si>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</si>
  <si>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</si>
  <si>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</si>
  <si>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</si>
  <si>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</si>
  <si>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</si>
  <si>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</si>
  <si>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</si>
  <si>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</si>
  <si>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</si>
  <si>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</si>
  <si>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</si>
  <si>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</si>
  <si>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</si>
  <si>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</si>
  <si>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</si>
  <si>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</si>
  <si>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</si>
  <si>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</si>
  <si>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</si>
  <si>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</si>
  <si>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</si>
  <si>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</si>
  <si>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</si>
  <si>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</si>
  <si>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</si>
  <si>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</si>
  <si>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</si>
  <si>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</si>
  <si>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</si>
  <si>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</si>
  <si>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</si>
  <si>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</si>
  <si>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</si>
  <si>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</si>
  <si>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</si>
  <si>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</si>
  <si>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</si>
  <si>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</si>
  <si>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</si>
  <si>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</si>
  <si>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</si>
  <si>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</si>
  <si>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</si>
  <si>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</si>
  <si>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</si>
  <si>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</si>
  <si>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</si>
  <si>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</si>
  <si>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</si>
  <si>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</si>
  <si>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</si>
  <si>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</si>
  <si>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</si>
  <si>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</si>
  <si>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</si>
  <si>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</si>
  <si>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</si>
  <si>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</si>
  <si>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</si>
  <si>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</si>
  <si>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</si>
  <si>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</si>
  <si>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</si>
  <si>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</si>
  <si>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</si>
  <si>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</si>
  <si>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</si>
  <si>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</si>
  <si>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</si>
  <si>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</si>
  <si>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</si>
  <si>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</si>
  <si>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</si>
  <si>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</si>
  <si>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</si>
  <si>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</si>
  <si>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</si>
  <si>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</si>
  <si>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</si>
  <si>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</si>
  <si>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</si>
  <si>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</si>
  <si>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</si>
  <si>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</si>
  <si>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</si>
  <si>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</si>
  <si>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</si>
  <si>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</si>
  <si>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</si>
  <si>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</si>
  <si>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</si>
  <si>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</si>
  <si>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</si>
  <si>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</si>
  <si>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</si>
  <si>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</si>
  <si>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</si>
  <si>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</si>
  <si>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</si>
  <si>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</si>
  <si>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</si>
  <si>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</si>
  <si>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</si>
  <si>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</si>
  <si>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</si>
  <si>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</si>
  <si>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</si>
  <si>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</si>
  <si>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</si>
  <si>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</si>
  <si>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</si>
  <si>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</si>
  <si>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</si>
  <si>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</si>
  <si>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</si>
  <si>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</si>
  <si>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</si>
  <si>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</si>
  <si>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</si>
  <si>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</si>
  <si>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</si>
  <si>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</si>
  <si>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</si>
  <si>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</si>
  <si>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</si>
  <si>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</si>
  <si>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</si>
  <si>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</si>
  <si>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</si>
  <si>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</si>
  <si>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</si>
  <si>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</si>
  <si>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</si>
  <si>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</si>
  <si>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</si>
  <si>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</si>
  <si>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</si>
  <si>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</si>
  <si>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</si>
  <si>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</si>
  <si>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</si>
  <si>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</si>
  <si>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</si>
  <si>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</si>
  <si>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</si>
  <si>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</si>
  <si>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</si>
  <si>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</si>
  <si>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</si>
  <si>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</si>
  <si>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</si>
  <si>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</si>
  <si>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</si>
  <si>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</si>
  <si>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</si>
  <si>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</si>
  <si>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</si>
  <si>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</si>
  <si>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</si>
  <si>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</si>
  <si>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</si>
  <si>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</si>
  <si>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</si>
  <si>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</si>
  <si>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</si>
  <si>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</si>
  <si>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</si>
  <si>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</si>
  <si>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</si>
  <si>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</si>
  <si>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</si>
  <si>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</si>
  <si>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</si>
  <si>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</si>
  <si>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</si>
  <si>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</si>
  <si>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</si>
  <si>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</si>
  <si>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</si>
  <si>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</si>
  <si>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</si>
  <si>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</si>
  <si>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</si>
  <si>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</si>
  <si>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</si>
  <si>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</si>
  <si>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</si>
  <si>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</si>
  <si>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</si>
  <si>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</si>
  <si>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</si>
  <si>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</si>
  <si>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</si>
  <si>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</si>
  <si>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</si>
  <si>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</si>
  <si>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</si>
  <si>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</si>
  <si>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</si>
  <si>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</si>
  <si>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</si>
  <si>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</si>
  <si>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</si>
  <si>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</si>
  <si>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</si>
  <si>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</si>
  <si>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</si>
  <si>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</si>
  <si>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</si>
  <si>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</si>
  <si>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</si>
  <si>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</si>
  <si>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</si>
  <si>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</si>
  <si>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</si>
  <si>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</si>
  <si>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</si>
  <si>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</si>
  <si>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</si>
  <si>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</si>
  <si>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</si>
  <si>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</si>
  <si>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</si>
  <si>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</si>
  <si>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</si>
  <si>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</si>
  <si>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</si>
  <si>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</si>
  <si>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</si>
  <si>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</si>
  <si>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</si>
  <si>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</si>
  <si>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</si>
  <si>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</si>
  <si>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</si>
  <si>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</si>
  <si>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</si>
  <si>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</si>
  <si>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</si>
  <si>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</si>
  <si>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</si>
  <si>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</si>
  <si>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</si>
  <si>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</si>
  <si>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</si>
  <si>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</si>
  <si>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</si>
  <si>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</si>
  <si>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</si>
  <si>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</si>
  <si>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</si>
  <si>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</si>
  <si>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</si>
  <si>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</si>
  <si>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</si>
  <si>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</si>
  <si>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</si>
  <si>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</si>
  <si>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</si>
  <si>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</si>
  <si>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</si>
  <si>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</si>
  <si>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</si>
  <si>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</si>
  <si>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</si>
  <si>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</si>
  <si>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</si>
  <si>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</si>
  <si>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</si>
  <si>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</si>
  <si>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</si>
  <si>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</si>
  <si>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</si>
  <si>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</si>
  <si>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</si>
  <si>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</si>
  <si>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</si>
  <si>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</si>
  <si>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</si>
  <si>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</si>
  <si>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</si>
  <si>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</si>
  <si>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</si>
  <si>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</si>
  <si>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</si>
  <si>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</si>
  <si>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</si>
  <si>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</si>
  <si>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</si>
  <si>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</si>
  <si>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</si>
  <si>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</si>
  <si>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</si>
  <si>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</si>
  <si>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</si>
  <si>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</si>
  <si>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</si>
  <si>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</si>
  <si>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</si>
  <si>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</si>
  <si>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</si>
  <si>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</si>
  <si>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</si>
  <si>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</si>
  <si>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</si>
  <si>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</si>
  <si>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</si>
  <si>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</si>
  <si>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</si>
  <si>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</si>
  <si>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</si>
  <si>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</si>
  <si>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</si>
  <si>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</si>
  <si>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</si>
  <si>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</si>
  <si>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</si>
  <si>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</si>
  <si>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</si>
  <si>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</si>
  <si>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</si>
  <si>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</si>
  <si>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</si>
  <si>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</si>
  <si>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</si>
  <si>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</si>
  <si>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</si>
  <si>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</si>
  <si>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</si>
  <si>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</si>
  <si>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</si>
  <si>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</si>
  <si>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</si>
  <si>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</si>
  <si>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</si>
  <si>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</si>
  <si>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</si>
  <si>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</si>
  <si>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</si>
  <si>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</si>
  <si>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</si>
  <si>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</si>
  <si>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</si>
  <si>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</si>
  <si>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</si>
  <si>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</si>
  <si>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</si>
  <si>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</si>
  <si>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</si>
  <si>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</si>
  <si>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</si>
  <si>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</si>
  <si>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</si>
  <si>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</si>
  <si>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</si>
  <si>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</si>
  <si>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</si>
  <si>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</si>
  <si>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</si>
  <si>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</si>
  <si>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</si>
  <si>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</si>
  <si>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</si>
  <si>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</si>
  <si>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</si>
  <si>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</si>
  <si>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</si>
  <si>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</si>
  <si>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</si>
  <si>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</si>
  <si>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</si>
  <si>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</si>
  <si>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</si>
  <si>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</si>
  <si>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</si>
  <si>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</si>
  <si>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</si>
  <si>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</si>
  <si>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</si>
  <si>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</si>
  <si>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</si>
  <si>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</si>
  <si>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</si>
  <si>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</si>
  <si>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</si>
  <si>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</si>
  <si>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</si>
  <si>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</si>
  <si>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</si>
  <si>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</si>
  <si>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</si>
  <si>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</si>
  <si>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</si>
  <si>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</si>
  <si>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</si>
  <si>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</si>
  <si>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</si>
  <si>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</si>
  <si>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</si>
  <si>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</si>
  <si>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</si>
  <si>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</si>
  <si>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</si>
  <si>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</si>
  <si>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</si>
  <si>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</si>
  <si>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</si>
  <si>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</si>
  <si>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</si>
  <si>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</si>
  <si>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</si>
  <si>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</si>
  <si>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</si>
  <si>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</si>
  <si>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</si>
  <si>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</si>
  <si>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</si>
  <si>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</si>
  <si>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</si>
  <si>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</si>
  <si>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</si>
  <si>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</si>
  <si>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</si>
  <si>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</si>
  <si>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</si>
  <si>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</si>
  <si>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</si>
  <si>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</si>
  <si>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</si>
  <si>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</si>
  <si>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</si>
  <si>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</si>
  <si>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</si>
  <si>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</si>
  <si>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</si>
  <si>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</si>
  <si>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</si>
  <si>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</si>
  <si>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</si>
  <si>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</si>
  <si>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</si>
  <si>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</si>
  <si>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</si>
  <si>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</si>
  <si>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</si>
  <si>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</si>
  <si>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</si>
  <si>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</si>
  <si>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</si>
  <si>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</si>
  <si>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</si>
  <si>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</si>
  <si>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</si>
  <si>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</si>
  <si>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</si>
  <si>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</si>
  <si>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</si>
  <si>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</si>
  <si>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</si>
  <si>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</si>
  <si>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</si>
  <si>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</si>
  <si>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</si>
  <si>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</si>
  <si>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</si>
  <si>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</si>
  <si>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</si>
  <si>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</si>
  <si>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</si>
  <si>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</si>
  <si>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</si>
  <si>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</si>
  <si>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</si>
  <si>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</si>
  <si>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</si>
  <si>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</si>
  <si>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</si>
  <si>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</si>
  <si>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</si>
  <si>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</si>
  <si>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</si>
  <si>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</si>
  <si>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</si>
  <si>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</si>
  <si>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</si>
  <si>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</si>
  <si>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</si>
  <si>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</si>
  <si>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</si>
  <si>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</si>
  <si>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</si>
  <si>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</si>
  <si>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</si>
  <si>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</si>
  <si>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</si>
  <si>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</si>
  <si>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</si>
  <si>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</si>
  <si>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</si>
  <si>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</si>
  <si>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</si>
  <si>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</si>
  <si>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</si>
  <si>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</si>
  <si>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</si>
  <si>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</si>
  <si>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</si>
  <si>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</si>
  <si>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</si>
  <si>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</si>
  <si>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</si>
  <si>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</si>
  <si>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</si>
  <si>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</si>
  <si>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</si>
  <si>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</si>
  <si>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</si>
  <si>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</si>
  <si>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</si>
  <si>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</si>
  <si>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</si>
  <si>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</si>
  <si>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</si>
  <si>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</si>
  <si>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</si>
  <si>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</si>
  <si>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</si>
  <si>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</si>
  <si>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</si>
  <si>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</si>
  <si>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</si>
  <si>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</si>
  <si>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</si>
  <si>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</si>
  <si>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</si>
  <si>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</si>
  <si>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</si>
  <si>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</si>
  <si>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</si>
  <si>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</si>
  <si>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</si>
  <si>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</si>
  <si>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</si>
  <si>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</si>
  <si>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</si>
  <si>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</si>
  <si>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</si>
  <si>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</si>
  <si>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</si>
  <si>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</si>
  <si>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</si>
  <si>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</si>
  <si>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</si>
  <si>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</si>
  <si>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</si>
  <si>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</si>
  <si>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</si>
  <si>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</si>
  <si>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</si>
  <si>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</si>
  <si>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</si>
  <si>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</si>
  <si>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</si>
  <si>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</si>
  <si>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</si>
  <si>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</si>
  <si>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</si>
  <si>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</si>
  <si>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</si>
  <si>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</si>
  <si>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</si>
  <si>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</si>
  <si>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</si>
  <si>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</si>
  <si>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</si>
  <si>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</si>
  <si>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</si>
  <si>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</si>
  <si>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</si>
  <si>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</si>
  <si>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</si>
  <si>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</si>
  <si>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</si>
  <si>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</si>
  <si>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</si>
  <si>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</si>
  <si>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</si>
  <si>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</si>
  <si>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</si>
  <si>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</si>
  <si>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</si>
  <si>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</si>
  <si>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</si>
  <si>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</si>
  <si>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</si>
  <si>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</si>
  <si>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</si>
  <si>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</si>
  <si>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</si>
  <si>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</si>
  <si>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</si>
  <si>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</si>
  <si>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</si>
  <si>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</si>
  <si>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</si>
  <si>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</si>
  <si>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</si>
  <si>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</si>
  <si>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</si>
  <si>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</si>
  <si>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</si>
  <si>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</si>
  <si>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</si>
  <si>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</si>
  <si>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</si>
  <si>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</si>
  <si>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</si>
  <si>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</si>
  <si>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</si>
  <si>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</si>
  <si>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</si>
  <si>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</si>
  <si>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</si>
  <si>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</si>
  <si>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</si>
  <si>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</si>
  <si>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</si>
  <si>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</si>
  <si>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</si>
  <si>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</si>
  <si>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</si>
  <si>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</si>
  <si>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</si>
  <si>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</si>
  <si>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</si>
  <si>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</si>
  <si>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</si>
  <si>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</si>
  <si>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</si>
  <si>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</si>
  <si>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</si>
  <si>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</si>
  <si>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</si>
  <si>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</si>
  <si>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</si>
  <si>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</si>
  <si>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</si>
  <si>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</si>
  <si>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</si>
  <si>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</si>
  <si>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</si>
  <si>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</si>
  <si>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</si>
  <si>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</si>
  <si>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</si>
  <si>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</si>
  <si>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</si>
  <si>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</si>
  <si>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</si>
  <si>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</si>
  <si>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</si>
  <si>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</si>
  <si>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</si>
  <si>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</si>
  <si>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</si>
  <si>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</si>
  <si>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</si>
  <si>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</si>
  <si>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</si>
  <si>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</si>
  <si>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</si>
  <si>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</si>
  <si>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</si>
  <si>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</si>
  <si>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</si>
  <si>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</si>
  <si>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</si>
  <si>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</si>
  <si>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</si>
  <si>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</si>
  <si>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</si>
  <si>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</si>
  <si>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</si>
  <si>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</si>
  <si>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</si>
  <si>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</si>
  <si>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</si>
  <si>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</si>
  <si>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</si>
  <si>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</si>
  <si>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</si>
  <si>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</si>
  <si>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</si>
  <si>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</si>
  <si>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</si>
  <si>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</si>
  <si>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</si>
  <si>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</si>
  <si>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</si>
  <si>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</si>
  <si>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</si>
  <si>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</si>
  <si>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</si>
  <si>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</si>
  <si>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</si>
  <si>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</si>
  <si>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</si>
  <si>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</si>
  <si>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</si>
  <si>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</si>
  <si>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</si>
  <si>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</si>
  <si>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</si>
  <si>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</si>
  <si>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</si>
  <si>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</si>
  <si>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</si>
  <si>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</si>
  <si>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</si>
  <si>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</si>
  <si>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</si>
  <si>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</si>
  <si>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</si>
  <si>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</si>
  <si>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</si>
  <si>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</si>
  <si>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</si>
  <si>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</si>
  <si>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</si>
  <si>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</si>
  <si>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</si>
  <si>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</si>
  <si>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</si>
  <si>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</si>
  <si>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</si>
  <si>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</si>
  <si>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</si>
  <si>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</si>
  <si>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</si>
  <si>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</si>
  <si>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</si>
  <si>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</si>
  <si>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</si>
  <si>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</si>
  <si>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</si>
  <si>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</si>
  <si>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</si>
  <si>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</si>
  <si>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</si>
  <si>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</si>
  <si>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</si>
  <si>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</si>
  <si>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</si>
  <si>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</si>
  <si>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</si>
  <si>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</si>
  <si>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</si>
  <si>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</si>
  <si>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</si>
  <si>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</si>
  <si>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</si>
  <si>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</si>
  <si>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</si>
  <si>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</si>
  <si>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</si>
  <si>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</si>
  <si>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</si>
  <si>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</si>
  <si>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</si>
  <si>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</si>
  <si>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</si>
  <si>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</si>
  <si>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</si>
  <si>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</si>
  <si>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</si>
  <si>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</si>
  <si>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</si>
  <si>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</si>
  <si>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</si>
  <si>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</si>
  <si>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</si>
  <si>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</si>
  <si>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</si>
  <si>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</si>
  <si>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</si>
  <si>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</si>
  <si>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</si>
  <si>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</si>
  <si>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</si>
  <si>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</si>
  <si>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</si>
  <si>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</si>
  <si>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</si>
  <si>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</si>
  <si>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</si>
  <si>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</si>
  <si>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</si>
  <si>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</si>
  <si>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</si>
  <si>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</si>
  <si>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</si>
  <si>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</si>
  <si>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</si>
  <si>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</si>
  <si>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</si>
  <si>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</si>
  <si>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</si>
  <si>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</si>
  <si>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</si>
  <si>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</si>
  <si>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</si>
  <si>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</si>
  <si>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</si>
  <si>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</si>
  <si>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</si>
  <si>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</si>
  <si>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</si>
  <si>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</si>
  <si>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</si>
  <si>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</si>
  <si>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</si>
  <si>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</si>
  <si>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</si>
  <si>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</si>
  <si>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</si>
  <si>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</si>
  <si>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</si>
  <si>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</si>
  <si>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</si>
  <si>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</si>
  <si>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</si>
  <si>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</si>
  <si>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</si>
  <si>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</si>
  <si>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</si>
  <si>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</si>
  <si>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</si>
  <si>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</si>
  <si>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</si>
  <si>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</si>
  <si>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</si>
  <si>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</si>
  <si>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</si>
  <si>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</si>
  <si>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</si>
  <si>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</si>
  <si>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</si>
  <si>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</si>
  <si>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</si>
  <si>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</si>
  <si>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</si>
  <si>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</si>
  <si>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</si>
  <si>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</si>
  <si>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</si>
  <si>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</si>
  <si>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</si>
  <si>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</si>
  <si>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</si>
  <si>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</si>
  <si>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</si>
  <si>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</si>
  <si>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</si>
  <si>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</si>
  <si>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</si>
  <si>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</si>
  <si>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</si>
  <si>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</si>
  <si>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</si>
  <si>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</si>
  <si>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</si>
  <si>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</si>
  <si>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</si>
  <si>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</si>
  <si>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</si>
  <si>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</si>
  <si>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</si>
  <si>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</si>
  <si>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</si>
  <si>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</si>
  <si>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</si>
  <si>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</si>
  <si>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</si>
  <si>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</si>
  <si>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</si>
  <si>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</si>
  <si>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</si>
  <si>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</si>
  <si>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</si>
  <si>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</si>
  <si>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</si>
  <si>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</si>
  <si>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</si>
  <si>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</si>
  <si>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</si>
  <si>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</si>
  <si>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</si>
  <si>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</si>
  <si>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</si>
  <si>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</si>
  <si>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</si>
  <si>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</si>
  <si>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</si>
  <si>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</si>
  <si>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</si>
  <si>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</si>
  <si>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</si>
  <si>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</si>
  <si>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</si>
  <si>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</si>
  <si>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</si>
  <si>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</si>
  <si>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</si>
  <si>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</si>
  <si>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</si>
  <si>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</si>
  <si>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</si>
  <si>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</si>
  <si>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</si>
  <si>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</si>
  <si>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</si>
  <si>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</si>
  <si>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</si>
  <si>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</si>
  <si>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</si>
  <si>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</si>
  <si>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</si>
  <si>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</si>
  <si>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</si>
  <si>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</si>
  <si>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</si>
  <si>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</si>
  <si>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</si>
  <si>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</si>
  <si>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</si>
  <si>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</si>
  <si>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</si>
  <si>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</si>
  <si>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</si>
  <si>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</si>
  <si>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</si>
  <si>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</si>
  <si>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</si>
  <si>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</si>
  <si>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</si>
  <si>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</si>
  <si>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</si>
  <si>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</si>
  <si>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</si>
  <si>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</si>
  <si>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</si>
  <si>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</si>
  <si>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</si>
  <si>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</si>
  <si>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</si>
  <si>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</si>
  <si>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</si>
  <si>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</si>
  <si>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</si>
  <si>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</si>
  <si>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</si>
  <si>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</si>
  <si>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</si>
  <si>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</si>
  <si>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</si>
  <si>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</si>
  <si>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</si>
  <si>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</si>
  <si>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</si>
  <si>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</si>
  <si>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</si>
  <si>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</si>
  <si>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</si>
  <si>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</si>
  <si>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</si>
  <si>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</si>
  <si>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</si>
  <si>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</si>
  <si>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</si>
  <si>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</si>
  <si>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</si>
  <si>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</si>
  <si>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</si>
  <si>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</si>
  <si>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</si>
  <si>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</si>
  <si>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</si>
  <si>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</si>
  <si>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</si>
  <si>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</si>
  <si>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</si>
  <si>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</si>
  <si>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</si>
  <si>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</si>
  <si>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</si>
  <si>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</si>
  <si>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</si>
  <si>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</si>
  <si>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</si>
  <si>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</si>
  <si>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</si>
  <si>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</si>
  <si>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</si>
  <si>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</si>
  <si>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</si>
  <si>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</si>
  <si>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</si>
  <si>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</si>
  <si>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</si>
  <si>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</si>
  <si>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</si>
  <si>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</si>
  <si>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</si>
  <si>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</si>
  <si>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</si>
  <si>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</si>
  <si>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</si>
  <si>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</si>
  <si>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</si>
  <si>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</si>
  <si>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</si>
  <si>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</si>
  <si>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</si>
  <si>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</si>
  <si>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</si>
  <si>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</si>
  <si>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</si>
  <si>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</si>
  <si>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</si>
  <si>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</si>
  <si>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</si>
  <si>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</si>
  <si>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</si>
  <si>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</si>
  <si>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</si>
  <si>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</si>
  <si>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</si>
  <si>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</si>
  <si>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</si>
  <si>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</si>
  <si>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</si>
  <si>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</si>
  <si>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</si>
  <si>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</si>
  <si>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</si>
  <si>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</si>
  <si>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</si>
  <si>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</si>
  <si>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</si>
  <si>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</si>
  <si>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</si>
  <si>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</si>
  <si>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</si>
  <si>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</si>
  <si>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</si>
  <si>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</si>
  <si>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</si>
  <si>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</si>
  <si>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</si>
  <si>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</si>
  <si>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</si>
  <si>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</si>
  <si>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</si>
  <si>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</si>
  <si>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</si>
  <si>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</si>
  <si>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</si>
  <si>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</si>
  <si>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</si>
  <si>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</si>
  <si>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</si>
  <si>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</si>
  <si>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</si>
  <si>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</si>
  <si>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</si>
  <si>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</si>
  <si>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</si>
  <si>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</si>
  <si>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</si>
  <si>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</si>
  <si>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</si>
  <si>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</si>
  <si>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</si>
  <si>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</si>
  <si>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</si>
  <si>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</si>
  <si>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</si>
  <si>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</si>
  <si>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</si>
  <si>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</si>
  <si>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</si>
  <si>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</si>
  <si>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</si>
  <si>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</si>
  <si>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</si>
  <si>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</si>
  <si>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</si>
  <si>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</si>
  <si>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</si>
  <si>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</si>
  <si>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</si>
  <si>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</si>
  <si>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</si>
  <si>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</si>
  <si>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</si>
  <si>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</si>
  <si>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</si>
  <si>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</si>
  <si>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</si>
  <si>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</si>
  <si>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</si>
  <si>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</si>
  <si>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</si>
  <si>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</si>
  <si>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</si>
  <si>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</si>
  <si>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</si>
  <si>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</si>
  <si>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</si>
  <si>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</si>
  <si>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</si>
  <si>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</si>
  <si>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</si>
  <si>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</si>
  <si>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</si>
  <si>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</si>
  <si>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</si>
  <si>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</si>
  <si>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</si>
  <si>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</si>
  <si>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</si>
  <si>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</si>
  <si>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</si>
  <si>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</si>
  <si>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</si>
  <si>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</si>
  <si>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</si>
  <si>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</si>
  <si>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</si>
  <si>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</si>
  <si>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</si>
  <si>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</si>
  <si>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</si>
  <si>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</si>
  <si>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</si>
  <si>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</si>
  <si>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</si>
  <si>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</si>
  <si>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</si>
  <si>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</si>
  <si>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</si>
  <si>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</si>
  <si>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</si>
  <si>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</si>
  <si>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</si>
  <si>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</si>
  <si>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</si>
  <si>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</si>
  <si>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</si>
  <si>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</si>
  <si>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</si>
  <si>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</si>
  <si>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</si>
  <si>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</si>
  <si>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</si>
  <si>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</si>
  <si>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</si>
  <si>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</si>
  <si>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</si>
  <si>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</si>
  <si>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</si>
  <si>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</si>
  <si>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</si>
  <si>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</si>
  <si>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</si>
  <si>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</si>
  <si>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</si>
  <si>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</si>
  <si>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</si>
  <si>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</si>
  <si>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</si>
  <si>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</si>
  <si>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</si>
  <si>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</si>
  <si>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</si>
  <si>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</si>
  <si>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</si>
  <si>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</si>
  <si>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</si>
  <si>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</si>
  <si>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</si>
  <si>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</si>
  <si>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</si>
  <si>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</si>
  <si>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</si>
  <si>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</si>
  <si>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</si>
  <si>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</si>
  <si>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</si>
  <si>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</si>
  <si>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</si>
  <si>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</si>
  <si>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</si>
  <si>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</si>
  <si>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</si>
  <si>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</si>
  <si>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</si>
  <si>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</si>
  <si>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</si>
  <si>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</si>
  <si>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</si>
  <si>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</si>
  <si>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</si>
  <si>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</si>
  <si>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</si>
  <si>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</si>
  <si>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</si>
  <si>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</si>
  <si>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</si>
  <si>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</si>
  <si>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</si>
  <si>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</si>
  <si>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</si>
  <si>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</si>
  <si>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</si>
  <si>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</si>
  <si>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</si>
  <si>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</si>
  <si>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</si>
  <si>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</si>
  <si>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</si>
  <si>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</si>
  <si>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</si>
  <si>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</si>
  <si>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</si>
  <si>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</si>
  <si>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</si>
  <si>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</si>
  <si>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</si>
  <si>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</si>
  <si>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</si>
  <si>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</si>
  <si>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</si>
  <si>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</si>
  <si>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</si>
  <si>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</si>
  <si>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</si>
  <si>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</si>
  <si>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</si>
  <si>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</si>
  <si>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</si>
  <si>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</si>
  <si>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</si>
  <si>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</si>
  <si>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</si>
  <si>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</si>
  <si>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</si>
  <si>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</si>
  <si>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</si>
  <si>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</si>
  <si>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</si>
  <si>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</si>
  <si>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</si>
  <si>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</si>
  <si>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</si>
  <si>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</si>
  <si>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</si>
  <si>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</si>
  <si>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</si>
  <si>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</si>
  <si>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</si>
  <si>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</si>
  <si>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</si>
  <si>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</si>
  <si>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</si>
  <si>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</si>
  <si>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</si>
  <si>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</si>
  <si>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</si>
  <si>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</si>
  <si>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</si>
  <si>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</si>
  <si>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</si>
  <si>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</si>
  <si>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</si>
  <si>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</si>
  <si>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</si>
  <si>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</si>
  <si>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</si>
  <si>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</si>
  <si>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</si>
  <si>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</si>
  <si>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</si>
  <si>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</si>
  <si>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</si>
  <si>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</si>
  <si>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</si>
  <si>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</si>
  <si>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</si>
  <si>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</si>
  <si>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</si>
  <si>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</si>
  <si>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</si>
  <si>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</si>
  <si>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</si>
  <si>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</si>
  <si>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</si>
  <si>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</si>
  <si>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</si>
  <si>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</si>
  <si>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</si>
  <si>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</si>
  <si>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</si>
  <si>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</si>
  <si>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</si>
  <si>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</si>
  <si>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</si>
  <si>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</si>
  <si>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</si>
  <si>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</si>
  <si>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</si>
  <si>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</si>
  <si>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</si>
  <si>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</si>
  <si>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</si>
  <si>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</si>
  <si>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</si>
  <si>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</si>
  <si>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</si>
  <si>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</si>
  <si>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</si>
  <si>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</si>
  <si>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</si>
  <si>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</si>
  <si>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</si>
  <si>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</si>
  <si>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</si>
  <si>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</si>
  <si>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</si>
  <si>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</si>
  <si>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</si>
  <si>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</si>
  <si>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</si>
  <si>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</si>
  <si>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</si>
  <si>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</si>
  <si>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</si>
  <si>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</si>
  <si>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</si>
  <si>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</si>
  <si>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</si>
  <si>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</si>
  <si>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</si>
  <si>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</si>
  <si>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</si>
  <si>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</si>
  <si>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</si>
  <si>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</si>
  <si>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</si>
  <si>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</si>
  <si>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</si>
  <si>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</si>
  <si>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</si>
  <si>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</si>
  <si>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</si>
  <si>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</si>
  <si>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</si>
  <si>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</si>
  <si>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</si>
  <si>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</si>
  <si>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</si>
  <si>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</si>
  <si>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</si>
  <si>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</si>
  <si>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</si>
  <si>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</si>
  <si>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</si>
  <si>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</si>
  <si>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</si>
  <si>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</si>
  <si>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</si>
  <si>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</si>
  <si>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</si>
  <si>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</si>
  <si>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</si>
  <si>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</si>
  <si>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</si>
  <si>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</si>
  <si>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</si>
  <si>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</si>
  <si>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</si>
  <si>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</si>
  <si>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</si>
  <si>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</si>
  <si>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</si>
  <si>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</si>
  <si>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</si>
  <si>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</si>
  <si>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</si>
  <si>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</si>
  <si>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</si>
  <si>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</si>
  <si>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</si>
  <si>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</si>
  <si>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</si>
  <si>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</si>
  <si>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</si>
  <si>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</si>
  <si>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</si>
  <si>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</si>
  <si>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</si>
  <si>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</si>
  <si>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</si>
  <si>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</si>
  <si>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</si>
  <si>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</si>
  <si>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</si>
  <si>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</si>
  <si>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</si>
  <si>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</si>
  <si>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</si>
  <si>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</si>
  <si>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</si>
  <si>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</si>
  <si>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</si>
  <si>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</si>
  <si>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</si>
  <si>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</si>
  <si>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</si>
  <si>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</si>
  <si>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</si>
  <si>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</si>
  <si>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</si>
  <si>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</si>
  <si>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</si>
  <si>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</si>
  <si>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</si>
  <si>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</si>
  <si>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</si>
  <si>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</si>
  <si>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</si>
  <si>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</si>
  <si>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</si>
  <si>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</si>
  <si>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</si>
  <si>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</si>
  <si>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</si>
  <si>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</si>
  <si>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</si>
  <si>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</si>
  <si>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</si>
  <si>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</si>
  <si>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</si>
  <si>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</si>
  <si>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</si>
  <si>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</si>
  <si>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</si>
  <si>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</si>
  <si>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</si>
  <si>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</si>
  <si>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</si>
  <si>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</si>
  <si>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</si>
  <si>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</si>
  <si>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</si>
  <si>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</si>
  <si>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</si>
  <si>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</si>
  <si>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</si>
  <si>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</si>
  <si>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</si>
  <si>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</si>
  <si>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</si>
  <si>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</si>
  <si>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</si>
  <si>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</si>
  <si>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</si>
  <si>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</si>
  <si>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</si>
  <si>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</si>
  <si>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</si>
  <si>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</si>
  <si>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</si>
  <si>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</si>
  <si>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</si>
  <si>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</si>
  <si>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</si>
  <si>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</si>
  <si>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</si>
  <si>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</si>
  <si>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</si>
  <si>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</si>
  <si>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</si>
  <si>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</si>
  <si>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</si>
  <si>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</si>
  <si>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</si>
  <si>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</si>
  <si>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</si>
  <si>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</si>
  <si>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</si>
  <si>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</si>
  <si>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</si>
  <si>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</si>
  <si>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</si>
  <si>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</si>
  <si>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</si>
  <si>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</si>
  <si>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</si>
  <si>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</si>
  <si>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</si>
  <si>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</si>
  <si>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</si>
  <si>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</si>
  <si>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</si>
  <si>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</si>
  <si>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</si>
  <si>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</si>
  <si>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</si>
  <si>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</si>
  <si>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</si>
  <si>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</si>
  <si>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</si>
  <si>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</si>
  <si>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</si>
  <si>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</si>
  <si>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</si>
  <si>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</si>
  <si>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</si>
  <si>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</si>
  <si>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</si>
  <si>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</si>
  <si>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</si>
  <si>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</si>
  <si>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</si>
  <si>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</si>
  <si>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</si>
  <si>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</si>
  <si>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</si>
  <si>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</si>
  <si>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</si>
  <si>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</si>
  <si>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</si>
  <si>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</si>
  <si>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</si>
  <si>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</si>
  <si>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</si>
  <si>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</si>
  <si>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</si>
  <si>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</si>
  <si>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</si>
  <si>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</si>
  <si>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</si>
  <si>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</si>
  <si>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</si>
  <si>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</si>
  <si>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</si>
  <si>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</si>
  <si>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</si>
  <si>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</si>
  <si>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</si>
  <si>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</si>
  <si>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</si>
  <si>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</si>
  <si>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</si>
  <si>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</si>
  <si>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</si>
  <si>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</si>
  <si>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</si>
  <si>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</si>
  <si>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</si>
  <si>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</si>
  <si>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</si>
  <si>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</si>
  <si>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</si>
  <si>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</si>
  <si>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</si>
  <si>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</si>
  <si>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</si>
  <si>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</si>
  <si>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</si>
  <si>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</si>
  <si>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</si>
  <si>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</si>
  <si>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</si>
  <si>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</si>
  <si>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</si>
  <si>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</si>
  <si>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</si>
  <si>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</si>
  <si>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</si>
  <si>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</si>
  <si>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</si>
  <si>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</si>
  <si>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</si>
  <si>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</si>
  <si>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</si>
  <si>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</si>
  <si>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</si>
  <si>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</si>
  <si>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</si>
  <si>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</si>
  <si>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</si>
  <si>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</si>
  <si>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</si>
  <si>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</si>
  <si>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</si>
  <si>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</si>
  <si>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</si>
  <si>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</si>
  <si>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</si>
  <si>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</si>
  <si>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</si>
  <si>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</si>
  <si>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</si>
  <si>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</si>
  <si>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</si>
  <si>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</si>
  <si>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</si>
  <si>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</si>
  <si>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</si>
  <si>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</si>
  <si>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</si>
  <si>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</si>
  <si>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</si>
  <si>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</si>
  <si>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</si>
  <si>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</si>
  <si>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</si>
  <si>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</si>
  <si>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</si>
  <si>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</si>
  <si>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</si>
  <si>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</si>
  <si>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</si>
  <si>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</si>
  <si>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</si>
  <si>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</si>
  <si>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</si>
  <si>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</si>
  <si>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</si>
  <si>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</si>
  <si>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</si>
  <si>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</si>
  <si>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</si>
  <si>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</si>
  <si>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</si>
  <si>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</si>
  <si>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</si>
  <si>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</si>
  <si>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</si>
  <si>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</si>
  <si>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</si>
  <si>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</si>
  <si>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</si>
  <si>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</si>
  <si>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</si>
  <si>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</si>
  <si>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</si>
  <si>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</si>
  <si>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</si>
  <si>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</si>
  <si>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</si>
  <si>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</si>
  <si>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</si>
  <si>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</si>
  <si>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</si>
  <si>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</si>
  <si>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</si>
  <si>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</si>
  <si>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</si>
  <si>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</si>
  <si>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</si>
  <si>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</si>
  <si>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</si>
  <si>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</si>
  <si>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</si>
  <si>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</si>
  <si>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</si>
  <si>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</si>
  <si>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</si>
  <si>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</si>
  <si>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</si>
  <si>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</si>
  <si>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</si>
  <si>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</si>
  <si>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</si>
  <si>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</si>
  <si>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</si>
  <si>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</si>
  <si>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</si>
  <si>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</si>
  <si>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</si>
  <si>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</si>
  <si>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</si>
  <si>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</si>
  <si>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</si>
  <si>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</si>
  <si>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</si>
  <si>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</si>
  <si>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</si>
  <si>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</si>
  <si>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</si>
  <si>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</si>
  <si>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</si>
  <si>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</si>
  <si>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</si>
  <si>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</si>
  <si>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</si>
  <si>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</si>
  <si>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</si>
  <si>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</si>
  <si>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</si>
  <si>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</si>
  <si>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</si>
  <si>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</si>
  <si>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</si>
  <si>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</si>
  <si>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</si>
  <si>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</si>
  <si>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</si>
  <si>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</si>
  <si>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</si>
  <si>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</si>
  <si>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</si>
  <si>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</si>
  <si>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</si>
  <si>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</si>
  <si>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</si>
  <si>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</si>
  <si>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</si>
  <si>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</si>
  <si>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</si>
  <si>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</si>
  <si>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</si>
  <si>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</si>
  <si>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</si>
  <si>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</si>
  <si>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</si>
  <si>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</si>
  <si>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</si>
  <si>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</si>
  <si>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</si>
  <si>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</si>
  <si>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</si>
  <si>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</si>
  <si>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</si>
  <si>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</si>
  <si>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</si>
  <si>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</si>
  <si>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</si>
  <si>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</si>
  <si>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</si>
  <si>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</si>
  <si>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</si>
  <si>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</si>
  <si>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</si>
  <si>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</si>
  <si>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</si>
  <si>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</si>
  <si>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</si>
  <si>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</si>
  <si>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</si>
  <si>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</si>
  <si>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</si>
  <si>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</si>
  <si>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</si>
  <si>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</si>
  <si>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</si>
  <si>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</si>
  <si>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</si>
  <si>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</si>
  <si>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</si>
  <si>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</si>
  <si>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</si>
  <si>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</si>
  <si>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</si>
  <si>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</si>
  <si>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</si>
  <si>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</si>
  <si>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</si>
  <si>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</si>
  <si>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</si>
  <si>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</si>
  <si>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</si>
  <si>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</si>
  <si>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</si>
  <si>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</si>
  <si>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</si>
  <si>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</si>
  <si>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</si>
  <si>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</si>
  <si>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</si>
  <si>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</si>
  <si>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</si>
  <si>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</si>
  <si>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</si>
  <si>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</si>
  <si>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</si>
  <si>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</si>
  <si>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</si>
  <si>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</si>
  <si>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</si>
  <si>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</si>
  <si>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</si>
  <si>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</si>
  <si>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</si>
  <si>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</si>
  <si>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</si>
  <si>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</si>
  <si>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</si>
  <si>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</si>
  <si>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</si>
  <si>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</si>
  <si>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</si>
  <si>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</si>
  <si>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</si>
  <si>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</si>
  <si>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</si>
  <si>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</si>
  <si>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</si>
  <si>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</si>
  <si>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</si>
  <si>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</si>
  <si>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</si>
  <si>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</si>
  <si>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</si>
  <si>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</si>
  <si>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</si>
  <si>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</si>
  <si>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</si>
  <si>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</si>
  <si>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</si>
  <si>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</si>
  <si>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</si>
  <si>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</si>
  <si>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</si>
  <si>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</si>
  <si>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</si>
  <si>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</si>
  <si>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</si>
  <si>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</si>
  <si>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</si>
  <si>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</si>
  <si>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</si>
  <si>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</si>
  <si>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</si>
  <si>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</si>
  <si>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</si>
  <si>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</si>
  <si>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</si>
  <si>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</si>
  <si>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</si>
  <si>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</si>
  <si>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</si>
  <si>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</si>
  <si>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</si>
  <si>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</si>
  <si>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</si>
  <si>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</si>
  <si>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</si>
  <si>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</si>
  <si>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</si>
  <si>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</si>
  <si>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</si>
  <si>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</si>
  <si>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</si>
  <si>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</si>
  <si>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</si>
  <si>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</si>
  <si>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</si>
  <si>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</si>
  <si>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</si>
  <si>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</si>
  <si>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</si>
  <si>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</si>
  <si>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</si>
  <si>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</si>
  <si>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</si>
  <si>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</si>
  <si>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</si>
  <si>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</si>
  <si>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</si>
  <si>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</si>
  <si>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</si>
  <si>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</si>
  <si>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</si>
  <si>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</si>
  <si>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</si>
  <si>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</si>
  <si>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</si>
  <si>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</si>
  <si>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</si>
  <si>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</si>
  <si>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</si>
  <si>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</si>
  <si>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</si>
  <si>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</si>
  <si>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</si>
  <si>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</si>
  <si>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</si>
  <si>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</si>
  <si>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</si>
  <si>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</si>
  <si>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</si>
  <si>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</si>
  <si>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</si>
  <si>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</si>
  <si>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</si>
  <si>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</si>
  <si>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</si>
  <si>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</si>
  <si>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</si>
  <si>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</si>
  <si>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</si>
  <si>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</si>
  <si>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</si>
  <si>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</si>
  <si>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</si>
  <si>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</si>
  <si>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</si>
  <si>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</si>
  <si>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</si>
  <si>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</si>
  <si>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</si>
  <si>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</si>
  <si>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</si>
  <si>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</si>
  <si>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</si>
  <si>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</si>
  <si>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</si>
  <si>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</si>
  <si>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</si>
  <si>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</si>
  <si>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</si>
  <si>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</si>
  <si>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</si>
  <si>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</si>
  <si>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</si>
  <si>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</si>
  <si>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</si>
  <si>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</si>
  <si>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</si>
  <si>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</si>
  <si>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</si>
  <si>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</si>
  <si>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</si>
  <si>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</si>
  <si>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</si>
  <si>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</si>
  <si>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</si>
  <si>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</si>
  <si>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</si>
  <si>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</si>
  <si>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</si>
  <si>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</si>
  <si>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</si>
  <si>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</si>
  <si>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</si>
  <si>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</si>
  <si>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</si>
  <si>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</si>
  <si>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</si>
  <si>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</si>
  <si>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</si>
  <si>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</si>
  <si>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</si>
  <si>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</si>
  <si>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</si>
  <si>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</si>
  <si>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</si>
  <si>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</si>
  <si>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</si>
  <si>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</si>
  <si>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</si>
  <si>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</si>
  <si>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</si>
  <si>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</si>
  <si>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</si>
  <si>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</si>
  <si>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</si>
  <si>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</si>
  <si>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</si>
  <si>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</si>
  <si>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</si>
  <si>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</si>
  <si>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</si>
  <si>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</si>
  <si>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</si>
  <si>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</si>
  <si>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</si>
  <si>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</si>
  <si>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</si>
  <si>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</si>
  <si>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</si>
  <si>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</si>
  <si>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</si>
  <si>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</si>
  <si>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</si>
  <si>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</si>
  <si>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</si>
  <si>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</si>
  <si>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</si>
  <si>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</si>
  <si>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</si>
  <si>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</si>
  <si>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</si>
  <si>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</si>
  <si>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</si>
  <si>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</si>
  <si>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</si>
  <si>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</si>
  <si>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</si>
  <si>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</si>
  <si>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</si>
  <si>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</si>
  <si>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</si>
  <si>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</si>
  <si>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</si>
  <si>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</si>
  <si>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</si>
  <si>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</si>
  <si>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</si>
  <si>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</si>
  <si>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</si>
  <si>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</si>
  <si>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</si>
  <si>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</si>
  <si>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</si>
  <si>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</si>
  <si>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</si>
  <si>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</si>
  <si>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</si>
  <si>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</si>
  <si>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</si>
  <si>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</si>
  <si>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</si>
  <si>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</si>
  <si>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</si>
  <si>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</si>
  <si>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</si>
  <si>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</si>
  <si>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</si>
  <si>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</si>
  <si>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</si>
  <si>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</si>
  <si>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</si>
  <si>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</si>
  <si>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</si>
  <si>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</si>
  <si>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</si>
  <si>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</si>
  <si>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</si>
  <si>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</si>
  <si>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</si>
  <si>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</si>
  <si>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</si>
  <si>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</si>
  <si>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</si>
  <si>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</si>
  <si>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</si>
  <si>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</si>
  <si>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</si>
  <si>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</si>
  <si>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</si>
  <si>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</si>
  <si>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</si>
  <si>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</si>
  <si>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</si>
  <si>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</si>
  <si>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</si>
  <si>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</si>
  <si>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</si>
  <si>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</si>
  <si>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</si>
  <si>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</si>
  <si>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</si>
  <si>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</si>
  <si>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</si>
  <si>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</si>
  <si>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</si>
  <si>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</si>
  <si>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</si>
  <si>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</si>
  <si>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</si>
  <si>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</si>
  <si>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</si>
  <si>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</si>
  <si>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</si>
  <si>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</si>
  <si>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</si>
  <si>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</si>
  <si>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</si>
  <si>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</si>
  <si>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</si>
  <si>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</si>
  <si>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</si>
  <si>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</si>
  <si>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</si>
  <si>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</si>
  <si>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</si>
  <si>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</si>
  <si>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</si>
  <si>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</si>
  <si>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</si>
  <si>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</si>
  <si>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</si>
  <si>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</si>
  <si>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</si>
  <si>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</si>
  <si>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</si>
  <si>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</si>
  <si>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</si>
  <si>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</si>
  <si>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</si>
  <si>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</si>
  <si>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</si>
  <si>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</si>
  <si>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</si>
  <si>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</si>
  <si>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</si>
  <si>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</si>
  <si>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</si>
  <si>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</si>
  <si>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</si>
  <si>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</si>
  <si>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</si>
  <si>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</si>
  <si>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</si>
  <si>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</si>
  <si>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</si>
  <si>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</si>
  <si>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</si>
  <si>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</si>
  <si>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</si>
  <si>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</si>
  <si>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</si>
  <si>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</si>
  <si>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</si>
  <si>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</si>
  <si>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</si>
  <si>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</si>
  <si>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</si>
  <si>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</si>
  <si>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</si>
  <si>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</si>
  <si>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</si>
  <si>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</si>
  <si>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</si>
  <si>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</si>
  <si>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</si>
  <si>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</si>
  <si>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</si>
  <si>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</si>
  <si>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</si>
  <si>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</si>
  <si>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</si>
  <si>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</si>
  <si>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</si>
  <si>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</si>
  <si>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</si>
  <si>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</si>
  <si>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</si>
  <si>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</si>
  <si>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</si>
  <si>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</si>
  <si>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</si>
  <si>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</si>
  <si>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</si>
  <si>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</si>
  <si>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</si>
  <si>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</si>
  <si>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</si>
  <si>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</si>
  <si>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</si>
  <si>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</si>
  <si>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</si>
  <si>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</si>
  <si>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</si>
  <si>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</si>
  <si>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</si>
  <si>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</si>
  <si>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</si>
  <si>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</si>
  <si>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</si>
  <si>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</si>
  <si>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</si>
  <si>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</si>
  <si>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</si>
  <si>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</si>
  <si>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</si>
  <si>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</si>
  <si>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</si>
  <si>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</si>
  <si>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</si>
  <si>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</si>
  <si>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</si>
  <si>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</si>
  <si>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</si>
  <si>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</si>
  <si>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</si>
  <si>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</si>
  <si>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</si>
  <si>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</si>
  <si>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</si>
  <si>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</si>
  <si>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</si>
  <si>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</si>
  <si>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</si>
  <si>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</si>
  <si>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</si>
  <si>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</si>
  <si>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</si>
  <si>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</si>
  <si>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</si>
  <si>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</si>
  <si>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</si>
  <si>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</si>
  <si>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</si>
  <si>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</si>
  <si>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</si>
  <si>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</si>
  <si>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</si>
  <si>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</si>
  <si>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</si>
  <si>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</si>
  <si>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</si>
  <si>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</si>
  <si>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</si>
  <si>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</si>
  <si>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</si>
  <si>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</si>
  <si>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</si>
  <si>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</si>
  <si>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</si>
  <si>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</si>
  <si>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</si>
  <si>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</si>
  <si>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</si>
  <si>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</si>
  <si>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</si>
  <si>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</si>
  <si>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</si>
  <si>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</si>
  <si>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</si>
  <si>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</si>
  <si>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</si>
  <si>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</si>
  <si>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</si>
  <si>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</si>
  <si>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</si>
  <si>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</si>
  <si>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</si>
  <si>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</si>
  <si>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</si>
  <si>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</si>
  <si>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</si>
  <si>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</si>
  <si>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</si>
  <si>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</si>
  <si>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</si>
  <si>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</si>
  <si>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</si>
  <si>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</si>
  <si>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</si>
  <si>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</si>
  <si>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</si>
  <si>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</si>
  <si>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</si>
  <si>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</si>
  <si>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</si>
  <si>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</si>
  <si>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</si>
  <si>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</si>
  <si>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</si>
  <si>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</si>
  <si>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</si>
  <si>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</si>
  <si>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</si>
  <si>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</si>
  <si>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</si>
  <si>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</si>
  <si>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</si>
  <si>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</si>
  <si>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</si>
  <si>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</si>
  <si>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</si>
  <si>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</si>
  <si>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</si>
  <si>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</si>
  <si>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</si>
  <si>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</si>
  <si>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</si>
  <si>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</si>
  <si>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</si>
  <si>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</si>
  <si>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</si>
  <si>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</si>
  <si>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</si>
  <si>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</si>
  <si>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</si>
  <si>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</si>
  <si>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</si>
  <si>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</si>
  <si>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</si>
  <si>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</si>
  <si>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</si>
  <si>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</si>
  <si>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</si>
  <si>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</si>
  <si>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</si>
  <si>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</si>
  <si>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</si>
  <si>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</si>
  <si>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</si>
  <si>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</si>
  <si>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</si>
  <si>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</si>
  <si>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</si>
  <si>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</si>
  <si>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</si>
  <si>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</si>
  <si>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</si>
  <si>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</si>
  <si>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</si>
  <si>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</si>
  <si>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</si>
  <si>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</si>
  <si>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</si>
  <si>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</si>
  <si>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</si>
  <si>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</si>
  <si>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</si>
  <si>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</si>
  <si>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</si>
  <si>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</si>
  <si>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</si>
  <si>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</si>
  <si>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</si>
  <si>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</si>
  <si>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</si>
  <si>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</si>
  <si>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</si>
  <si>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</si>
  <si>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</si>
  <si>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</si>
  <si>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</si>
  <si>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</si>
  <si>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</si>
  <si>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</si>
  <si>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</si>
  <si>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</si>
  <si>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</si>
  <si>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</si>
  <si>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</si>
  <si>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</si>
  <si>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</si>
  <si>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</si>
  <si>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</si>
  <si>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</si>
  <si>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</si>
  <si>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</si>
  <si>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</si>
  <si>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</si>
  <si>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</si>
  <si>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</si>
  <si>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</si>
  <si>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</si>
  <si>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</si>
  <si>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</si>
  <si>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小区</t>
  </si>
  <si>
    <t>平米租金(元/㎡·月)</t>
  </si>
  <si>
    <t>正常</t>
  </si>
  <si>
    <t>和谐雅园</t>
    <phoneticPr fontId="134" type="noConversion"/>
  </si>
  <si>
    <t>百环家园</t>
    <phoneticPr fontId="134" type="noConversion"/>
  </si>
  <si>
    <t>九龙花园</t>
    <phoneticPr fontId="134" type="noConversion"/>
  </si>
  <si>
    <t>户数</t>
    <phoneticPr fontId="24" type="noConversion"/>
  </si>
  <si>
    <t>建成年代</t>
    <phoneticPr fontId="24" type="noConversion"/>
  </si>
  <si>
    <t>板楼</t>
  </si>
  <si>
    <t>板楼</t>
    <phoneticPr fontId="24" type="noConversion"/>
  </si>
  <si>
    <t>板塔结合</t>
  </si>
  <si>
    <t>板塔结合</t>
    <phoneticPr fontId="24" type="noConversion"/>
  </si>
  <si>
    <t>塔楼</t>
    <phoneticPr fontId="24" type="noConversion"/>
  </si>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</sst>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272" fillId="0" borderId="0" xfId="19" applyNumberFormat="1"/>
    <xf numFmtId="0" fontId="0" fillId="0" borderId="0" xfId="0" applyNumberFormat="1" applyAlignment="1"/>
    <xf numFmtId="0" fontId="95" fillId="0" borderId="0" xfId="0" applyNumberFormat="1" applyFont="1" applyAlignment="1"/>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10</xdr:col>
      <xdr:colOff>188112</xdr:colOff>
      <xdr:row>34</xdr:row>
      <xdr:rowOff>96480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90600"/>
          <a:ext cx="6520332" cy="5400000"/>
        </a:xfrm>
        <a:prstGeom prst="rect">
          <a:avLst/>
        </a:prstGeom>
      </xdr:spPr>
    </xdr:pic>
    <xdr:clientData/>
  </xdr:twoCellAnchor>
  <xdr:twoCellAnchor editAs="oneCell">
    <xdr:from>
      <xdr:col>0</xdr:col>
      <xdr:colOff>0</xdr:colOff>
      <xdr:row>35</xdr:row>
      <xdr:rowOff>0</xdr:rowOff>
    </xdr:from>
    <xdr:to>
      <xdr:col>10</xdr:col>
      <xdr:colOff>76669</xdr:colOff>
      <xdr:row>64</xdr:row>
      <xdr:rowOff>96480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477000"/>
          <a:ext cx="6408889" cy="5400000"/>
        </a:xfrm>
        <a:prstGeom prst="rect">
          <a:avLst/>
        </a:prstGeom>
      </xdr:spPr>
    </xdr:pic>
    <xdr:clientData/>
  </xdr:twoCellAnchor>
  <xdr:twoCellAnchor editAs="oneCell">
    <xdr:from>
      <xdr:col>0</xdr:col>
      <xdr:colOff>0</xdr:colOff>
      <xdr:row>65</xdr:row>
      <xdr:rowOff>0</xdr:rowOff>
    </xdr:from>
    <xdr:to>
      <xdr:col>10</xdr:col>
      <xdr:colOff>243260</xdr:colOff>
      <xdr:row>94</xdr:row>
      <xdr:rowOff>96480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963400"/>
          <a:ext cx="6575480" cy="5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2025年3月20日</v>
      </c>
    </row>
    <row r="13" spans="1:2" s="1203" customFormat="1">
      <c r="A13" s="1201" t="s">
        <v>529</v>
      </c>
      <c r="B13" s="1202"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45736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1.75</v>
      </c>
      <c r="D5" s="3025">
        <f>IF(ISERROR(ROUND(POWER(1+E5,A5-C5)*(POWER(1+E5,C5)-1)/(POWER(1+E5,A5)-1),3)),0,ROUND(POWER(1+E5,A5-C5)*(POWER(1+E5,C5)-1)/(POWER(1+E5,A5)-1),4))</f>
        <v>8.3799999999999999E-2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11.75</v>
      </c>
      <c r="D6" s="3025">
        <f>IF(ISERROR(ROUND(POWER(1+E6,A6-C6)*(POWER(1+E6,C6)-1)/(POWER(1+E6,A6)-1),3)),0,ROUND(POWER(1+E6,A6-C6)*(POWER(1+E6,C6)-1)/(POWER(1+E6,A6)-1),4))</f>
        <v>0.42970000000000003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31.77</v>
      </c>
      <c r="D7" s="3025">
        <f>IF(ISERROR(ROUND(POWER(1+E7,A7-C7)*(POWER(1+E7,C7)-1)/(POWER(1+E7,A7)-1),3)),0,ROUND(POWER(1+E7,A7-C7)*(POWER(1+E7,C7)-1)/(POWER(1+E7,A7)-1),4))</f>
        <v>0.76119999999999999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0" sqref="B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c r="F8" s="2392"/>
      <c r="G8" s="2663"/>
      <c r="H8" s="2663"/>
      <c r="I8" s="2663"/>
      <c r="J8" s="2439"/>
      <c r="K8" s="2614"/>
      <c r="L8" s="2613"/>
      <c r="M8" s="2613"/>
      <c r="N8" s="2439"/>
      <c r="O8" s="2450"/>
      <c r="P8" s="2439"/>
      <c r="Q8" s="2439"/>
      <c r="R8" s="2439"/>
    </row>
    <row r="9" spans="1:30" ht="13.8" thickBot="1">
      <c r="A9" s="2393" t="s">
        <v>2178</v>
      </c>
      <c r="B9" s="2394" t="s">
        <v>3406</v>
      </c>
      <c r="C9" s="2395"/>
      <c r="D9" s="3512"/>
      <c r="E9" s="2394"/>
      <c r="F9" s="2396"/>
      <c r="G9" s="2665"/>
      <c r="H9" s="2665"/>
      <c r="I9" s="2665"/>
      <c r="J9" s="2439"/>
      <c r="K9" s="2616"/>
      <c r="L9" s="2613"/>
      <c r="M9" s="2613"/>
      <c r="N9" s="2439"/>
      <c r="O9" s="2450"/>
      <c r="P9" s="2439"/>
      <c r="Q9" s="2439"/>
      <c r="R9" s="2439"/>
    </row>
    <row r="10" spans="1:30" ht="13.8"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0</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9" t="s">
        <v>1131</v>
      </c>
      <c r="B2" s="3539"/>
      <c r="C2" s="3539"/>
      <c r="D2" s="796" t="s">
        <v>1107</v>
      </c>
      <c r="E2" s="1639" t="s">
        <v>1108</v>
      </c>
      <c r="F2" s="2659"/>
      <c r="G2" s="2650"/>
      <c r="H2" s="2651"/>
      <c r="I2" s="2325" t="s">
        <v>1132</v>
      </c>
      <c r="J2" s="2659"/>
      <c r="K2" s="2659"/>
      <c r="L2" s="2659"/>
      <c r="M2" s="2659"/>
      <c r="N2" s="2661"/>
      <c r="O2" s="2659"/>
      <c r="P2" s="2659"/>
    </row>
    <row r="3" spans="1:16" ht="15" thickBot="1">
      <c r="A3" s="3540" t="s">
        <v>1105</v>
      </c>
      <c r="B3" s="3540"/>
      <c r="C3" s="354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4" t="s">
        <v>1110</v>
      </c>
      <c r="C5" s="354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36"/>
      <c r="B7" s="3537"/>
      <c r="C7" s="353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33" t="s">
        <v>1135</v>
      </c>
      <c r="L16" s="3534"/>
      <c r="M16" s="3534"/>
      <c r="N16" s="3534"/>
      <c r="O16" s="3534"/>
      <c r="P16" s="3535"/>
    </row>
    <row r="17" spans="1:19" ht="14.4">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45736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45736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1" sqref="C1"/>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3.2">
      <c r="A3" s="3585" t="s">
        <v>1264</v>
      </c>
      <c r="B3" s="3586"/>
      <c r="C3" s="3586"/>
      <c r="D3" s="3586"/>
      <c r="E3" s="3586"/>
      <c r="F3" s="3586"/>
      <c r="G3" s="3586"/>
      <c r="H3" s="3586"/>
      <c r="I3" s="3586"/>
    </row>
    <row r="4" spans="1:12" ht="14.4">
      <c r="A4" s="1754" t="s">
        <v>1265</v>
      </c>
      <c r="B4" s="1755" t="s">
        <v>1266</v>
      </c>
      <c r="C4" s="1756"/>
      <c r="D4" s="1756"/>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61" t="s">
        <v>1268</v>
      </c>
      <c r="B5" s="3548">
        <v>25</v>
      </c>
      <c r="C5" s="3564"/>
      <c r="D5" s="3584"/>
      <c r="E5" s="131" t="s">
        <v>1269</v>
      </c>
      <c r="F5" s="1757"/>
      <c r="G5" s="1757"/>
      <c r="H5" s="1757"/>
      <c r="I5" s="1373"/>
    </row>
    <row r="6" spans="1:12" ht="13.2">
      <c r="A6" s="3561"/>
      <c r="B6" s="3548"/>
      <c r="C6" s="3565"/>
      <c r="D6" s="3584"/>
      <c r="E6" s="131" t="s">
        <v>1270</v>
      </c>
      <c r="F6" s="1757"/>
      <c r="G6" s="1757"/>
      <c r="H6" s="1757"/>
      <c r="I6" s="1373"/>
    </row>
    <row r="7" spans="1:12" ht="13.2">
      <c r="A7" s="3561"/>
      <c r="B7" s="3548"/>
      <c r="C7" s="3566"/>
      <c r="D7" s="3584"/>
      <c r="E7" s="131" t="s">
        <v>1271</v>
      </c>
      <c r="F7" s="1757"/>
      <c r="G7" s="1757"/>
      <c r="H7" s="1757"/>
      <c r="I7" s="1373"/>
    </row>
    <row r="8" spans="1:12" ht="13.2">
      <c r="A8" s="3561" t="s">
        <v>1272</v>
      </c>
      <c r="B8" s="3548">
        <v>15</v>
      </c>
      <c r="C8" s="3564"/>
      <c r="D8" s="3584"/>
      <c r="E8" s="131" t="s">
        <v>1273</v>
      </c>
      <c r="F8" s="1757"/>
      <c r="G8" s="1757"/>
      <c r="H8" s="1757"/>
      <c r="I8" s="1373"/>
    </row>
    <row r="9" spans="1:12" ht="13.2">
      <c r="A9" s="3561"/>
      <c r="B9" s="3548"/>
      <c r="C9" s="3566"/>
      <c r="D9" s="3584"/>
      <c r="E9" s="131" t="s">
        <v>1274</v>
      </c>
      <c r="F9" s="1757"/>
      <c r="G9" s="1757"/>
      <c r="H9" s="1757"/>
      <c r="I9" s="1373"/>
    </row>
    <row r="10" spans="1:12" ht="13.2">
      <c r="A10" s="3561" t="s">
        <v>1275</v>
      </c>
      <c r="B10" s="3548">
        <v>15</v>
      </c>
      <c r="C10" s="3564"/>
      <c r="D10" s="3584"/>
      <c r="E10" s="131" t="s">
        <v>1276</v>
      </c>
      <c r="F10" s="1757"/>
      <c r="G10" s="1757"/>
      <c r="H10" s="1757"/>
      <c r="I10" s="1373"/>
    </row>
    <row r="11" spans="1:12" ht="13.2">
      <c r="A11" s="3561"/>
      <c r="B11" s="3548"/>
      <c r="C11" s="3566"/>
      <c r="D11" s="3584"/>
      <c r="E11" s="131" t="s">
        <v>1277</v>
      </c>
      <c r="F11" s="1757"/>
      <c r="G11" s="1757"/>
      <c r="H11" s="1757"/>
      <c r="I11" s="1373"/>
    </row>
    <row r="12" spans="1:12" ht="13.2">
      <c r="A12" s="3561" t="s">
        <v>1278</v>
      </c>
      <c r="B12" s="3548">
        <v>15</v>
      </c>
      <c r="C12" s="3564"/>
      <c r="D12" s="3584"/>
      <c r="E12" s="131" t="s">
        <v>1279</v>
      </c>
      <c r="F12" s="1757"/>
      <c r="G12" s="1757"/>
      <c r="H12" s="1757"/>
      <c r="I12" s="1373"/>
    </row>
    <row r="13" spans="1:12" ht="13.2">
      <c r="A13" s="3561"/>
      <c r="B13" s="3548"/>
      <c r="C13" s="3566"/>
      <c r="D13" s="3584"/>
      <c r="E13" s="131" t="s">
        <v>1280</v>
      </c>
      <c r="F13" s="1757"/>
      <c r="G13" s="1757"/>
      <c r="H13" s="1757"/>
      <c r="I13" s="1373"/>
    </row>
    <row r="14" spans="1:12" ht="13.2">
      <c r="A14" s="3561" t="s">
        <v>1281</v>
      </c>
      <c r="B14" s="3548">
        <v>30</v>
      </c>
      <c r="C14" s="3564"/>
      <c r="D14" s="3584"/>
      <c r="E14" s="131" t="s">
        <v>1282</v>
      </c>
      <c r="F14" s="1757"/>
      <c r="G14" s="1757"/>
      <c r="H14" s="1757"/>
      <c r="I14" s="1373"/>
    </row>
    <row r="15" spans="1:12" ht="13.2">
      <c r="A15" s="3561"/>
      <c r="B15" s="3548"/>
      <c r="C15" s="3565"/>
      <c r="D15" s="3584"/>
      <c r="E15" s="131" t="s">
        <v>1283</v>
      </c>
      <c r="F15" s="1757"/>
      <c r="G15" s="1757"/>
      <c r="H15" s="1757"/>
      <c r="I15" s="1373"/>
    </row>
    <row r="16" spans="1:12" ht="13.2">
      <c r="A16" s="3561"/>
      <c r="B16" s="3548"/>
      <c r="C16" s="3566"/>
      <c r="D16" s="3584"/>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71" t="s">
        <v>2131</v>
      </c>
      <c r="F18" s="3572"/>
      <c r="G18" s="3572"/>
      <c r="H18" s="3572"/>
      <c r="I18" s="3572"/>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55" t="s">
        <v>1299</v>
      </c>
      <c r="B24" s="1762" t="s">
        <v>1291</v>
      </c>
      <c r="C24" s="136">
        <f>IF(B30=0,0,D30)</f>
        <v>0</v>
      </c>
      <c r="D24" s="1769"/>
      <c r="E24" s="129"/>
      <c r="F24" s="129"/>
      <c r="G24" s="129"/>
      <c r="H24" s="129"/>
      <c r="I24" s="129"/>
    </row>
    <row r="25" spans="1:36" ht="14.4">
      <c r="A25" s="35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5" t="s">
        <v>1312</v>
      </c>
      <c r="B36" s="1787" t="s">
        <v>1313</v>
      </c>
      <c r="C36" s="145"/>
      <c r="D36" s="1788"/>
      <c r="E36" s="1789"/>
      <c r="F36" s="1790"/>
      <c r="G36" s="129"/>
      <c r="H36" s="129"/>
      <c r="I36" s="129"/>
    </row>
    <row r="37" spans="1:15" ht="15" thickBot="1">
      <c r="A37" s="3576"/>
      <c r="B37" s="1674" t="s">
        <v>1314</v>
      </c>
      <c r="C37" s="147"/>
      <c r="D37" s="1139"/>
      <c r="E37" s="1139"/>
      <c r="F37" s="1790"/>
      <c r="G37" s="129"/>
      <c r="H37" s="129"/>
      <c r="I37" s="129"/>
    </row>
    <row r="38" spans="1:15" ht="15" thickBot="1">
      <c r="A38" s="357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t="e">
        <f ca="1">ROUND(H101*F45,0)</f>
        <v>#REF!</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45736</v>
      </c>
      <c r="N47" s="3632"/>
      <c r="O47" s="3632"/>
    </row>
    <row r="48" spans="1:15" ht="26.4">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11" t="s">
        <v>1340</v>
      </c>
      <c r="L48" s="3611"/>
      <c r="M48" s="3633" t="e">
        <f ca="1">H101</f>
        <v>#REF!</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抵押担保权已注销时的房地产抵押价值</v>
      </c>
      <c r="L49" s="3611"/>
      <c r="M49" s="3633" t="str">
        <f>IF(项目基本情况!E8="房地产抵押价值",H107,H109)</f>
        <v>——</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399999999999999"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t="e">
        <f ca="1">ROUND(D45*'数据-取费表'!B41/(1+'数据-取费表'!C42),0)</f>
        <v>#REF!</v>
      </c>
      <c r="E52" s="2334" t="s">
        <v>1354</v>
      </c>
      <c r="F52" s="2554">
        <f>'数据-取费表'!B41</f>
        <v>0</v>
      </c>
      <c r="G52" s="2555"/>
      <c r="H52" s="2544"/>
      <c r="I52" s="1807"/>
      <c r="J52" s="2523">
        <v>1</v>
      </c>
      <c r="K52" s="3612" t="s">
        <v>1355</v>
      </c>
      <c r="L52" s="3612"/>
      <c r="M52" s="2525" t="b">
        <f>D48</f>
        <v>0</v>
      </c>
      <c r="N52" s="2523" t="str">
        <f>E48</f>
        <v>销售额×税（费）率</v>
      </c>
      <c r="O52" s="2526">
        <f>F48</f>
        <v>0</v>
      </c>
    </row>
    <row r="53" spans="1:35" ht="12" customHeight="1">
      <c r="A53" s="2335" t="s">
        <v>1356</v>
      </c>
      <c r="B53" s="3573" t="s">
        <v>2291</v>
      </c>
      <c r="C53" s="3574"/>
      <c r="D53" s="1087" t="e">
        <f ca="1">ROUND(D45*'数据-取费表'!B41/(1+'数据-取费表'!C42),0)</f>
        <v>#REF!</v>
      </c>
      <c r="E53" s="2334" t="s">
        <v>1354</v>
      </c>
      <c r="F53" s="2554">
        <f>'数据-取费表'!B41</f>
        <v>0</v>
      </c>
      <c r="G53" s="2555"/>
      <c r="H53" s="2544"/>
      <c r="I53" s="1807"/>
      <c r="J53" s="2523">
        <v>2</v>
      </c>
      <c r="K53" s="3612" t="s">
        <v>1357</v>
      </c>
      <c r="L53" s="3612"/>
      <c r="M53" s="2525" t="e">
        <f t="shared" ref="M53:O54" ca="1" si="0">D55</f>
        <v>#REF!</v>
      </c>
      <c r="N53" s="2523" t="str">
        <f t="shared" si="0"/>
        <v>销售额×税（费）率</v>
      </c>
      <c r="O53" s="2526" t="str">
        <f t="shared" si="0"/>
        <v>免征</v>
      </c>
    </row>
    <row r="54" spans="1:35" ht="12" customHeight="1">
      <c r="A54" s="2335" t="s">
        <v>1358</v>
      </c>
      <c r="B54" s="3573" t="s">
        <v>2292</v>
      </c>
      <c r="C54" s="3574"/>
      <c r="D54" s="1087" t="e">
        <f ca="1">C68</f>
        <v>#REF!</v>
      </c>
      <c r="E54" s="327" t="s">
        <v>1359</v>
      </c>
      <c r="F54" s="2554">
        <f>'数据-取费表'!B41</f>
        <v>0</v>
      </c>
      <c r="G54" s="2555"/>
      <c r="H54" s="2556"/>
      <c r="I54" s="1807"/>
      <c r="J54" s="2523">
        <v>3</v>
      </c>
      <c r="K54" s="3612" t="s">
        <v>1360</v>
      </c>
      <c r="L54" s="3612"/>
      <c r="M54" s="2525" t="e">
        <f t="shared" ca="1" si="0"/>
        <v>#REF!</v>
      </c>
      <c r="N54" s="2523" t="str">
        <f t="shared" si="0"/>
        <v>增值额×税（费）率</v>
      </c>
      <c r="O54" s="2527" t="str">
        <f t="shared" si="0"/>
        <v>免征</v>
      </c>
    </row>
    <row r="55" spans="1:35" ht="24" customHeight="1">
      <c r="A55" s="3562" t="s">
        <v>1361</v>
      </c>
      <c r="B55" s="3563"/>
      <c r="C55" s="3563"/>
      <c r="D55" s="2324" t="e">
        <f ca="1">IF(H55="个人住宅",0,ROUND(D45*I55,0))</f>
        <v>#REF!</v>
      </c>
      <c r="E55" s="2334" t="s">
        <v>1362</v>
      </c>
      <c r="F55" s="2554" t="str">
        <f>IF(H55="正常",I55,"免征")</f>
        <v>免征</v>
      </c>
      <c r="G55" s="2555"/>
      <c r="H55" s="2550"/>
      <c r="I55" s="165">
        <f>'数据-取费表'!B49</f>
        <v>0</v>
      </c>
      <c r="J55" s="2523">
        <f>IF(H59="非个人房产","",4)</f>
        <v>4</v>
      </c>
      <c r="K55" s="3612" t="str">
        <f>IF(H59="非个人房产","——","个人所得税")</f>
        <v>个人所得税</v>
      </c>
      <c r="L55" s="3612"/>
      <c r="M55" s="2528" t="e">
        <f ca="1">D59</f>
        <v>#REF!</v>
      </c>
      <c r="N55" s="2040" t="str">
        <f>E59</f>
        <v>差额计税</v>
      </c>
      <c r="O55" s="2529">
        <f>F59</f>
        <v>0.01</v>
      </c>
    </row>
    <row r="56" spans="1:35" ht="25.2">
      <c r="A56" s="3562" t="s">
        <v>1363</v>
      </c>
      <c r="B56" s="3563"/>
      <c r="C56" s="3563"/>
      <c r="D56" s="2324" t="e">
        <f ca="1">IF(H56="个人住宅",D57,D58)</f>
        <v>#REF!</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3.2">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0</v>
      </c>
      <c r="O57" s="2533"/>
      <c r="P57" s="2690" t="e">
        <f ca="1">N57/M49</f>
        <v>#VALUE!</v>
      </c>
    </row>
    <row r="58" spans="1:35" ht="25.2">
      <c r="A58" s="2335" t="s">
        <v>1352</v>
      </c>
      <c r="B58" s="3573" t="s">
        <v>1369</v>
      </c>
      <c r="C58" s="3547"/>
      <c r="D58" s="2324" t="e">
        <f ca="1">IF(H58="转让取得",C81,C97)</f>
        <v>#REF!</v>
      </c>
      <c r="E58" s="2334" t="s">
        <v>1364</v>
      </c>
      <c r="F58" s="302" t="s">
        <v>28</v>
      </c>
      <c r="G58" s="2555"/>
      <c r="H58" s="2558"/>
      <c r="I58" s="1808"/>
      <c r="J58" s="3612"/>
      <c r="K58" s="3612"/>
      <c r="L58" s="2530" t="s">
        <v>1370</v>
      </c>
      <c r="M58" s="2534"/>
      <c r="N58" s="2535" t="str">
        <f ca="1">NUMBERSTRING(INT(N57*10000),2)&amp;"元整"</f>
        <v>零元整</v>
      </c>
      <c r="O58" s="2536"/>
    </row>
    <row r="59" spans="1:35" ht="24.6" thickBot="1">
      <c r="A59" s="3615" t="s">
        <v>1371</v>
      </c>
      <c r="B59" s="3616"/>
      <c r="C59" s="361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t="e">
        <f ca="1">M49-N57</f>
        <v>#VALUE!</v>
      </c>
      <c r="O59" s="2539"/>
    </row>
    <row r="60" spans="1:35" ht="12" customHeight="1">
      <c r="A60" s="1809"/>
      <c r="B60" s="1747"/>
      <c r="C60" s="1747"/>
      <c r="D60" s="1747"/>
      <c r="E60" s="1578"/>
      <c r="F60" s="1808"/>
      <c r="G60" s="1808"/>
      <c r="H60" s="1810"/>
      <c r="I60" s="129"/>
      <c r="J60" s="3614"/>
      <c r="K60" s="3612"/>
      <c r="L60" s="2530" t="s">
        <v>1370</v>
      </c>
      <c r="M60" s="2534"/>
      <c r="N60" s="2535" t="e">
        <f ca="1">NUMBERSTRING(INT(N59*10000),2)&amp;"元整"</f>
        <v>#VALUE!</v>
      </c>
      <c r="O60" s="2536"/>
    </row>
    <row r="61" spans="1:35" ht="13.8" thickBot="1">
      <c r="A61" s="3560" t="s">
        <v>1373</v>
      </c>
      <c r="B61" s="3560"/>
      <c r="C61" s="3560"/>
      <c r="D61" s="3560"/>
      <c r="E61" s="3560"/>
      <c r="F61" s="1808"/>
      <c r="G61" s="1808"/>
      <c r="H61" s="1810"/>
      <c r="I61" s="129"/>
      <c r="J61" s="2523">
        <f>J59+1</f>
        <v>7</v>
      </c>
      <c r="K61" s="3612" t="s">
        <v>1374</v>
      </c>
      <c r="L61" s="3612"/>
      <c r="M61" s="2540"/>
      <c r="N61" s="2541" t="e">
        <f ca="1">ROUND(N59*10000/'数据-汇总表'!E3,0)</f>
        <v>#VALUE!</v>
      </c>
      <c r="O61" s="2542"/>
    </row>
    <row r="62" spans="1:35" ht="13.2">
      <c r="A62" s="3578" t="s">
        <v>1375</v>
      </c>
      <c r="B62" s="357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3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3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f>C4</f>
        <v>0</v>
      </c>
      <c r="D101" s="2586">
        <f>D4</f>
        <v>0</v>
      </c>
      <c r="E101" s="3634" t="s">
        <v>1431</v>
      </c>
      <c r="F101" s="3591"/>
      <c r="G101" s="1827" t="s">
        <v>1432</v>
      </c>
      <c r="H101" s="2595" t="e">
        <f ca="1">H118</f>
        <v>#REF!</v>
      </c>
      <c r="I101" s="129"/>
    </row>
    <row r="102" spans="1:35" ht="18.75" customHeight="1">
      <c r="A102" s="3593" t="s">
        <v>1433</v>
      </c>
      <c r="B102" s="2584" t="s">
        <v>1432</v>
      </c>
      <c r="C102" s="2585" t="e">
        <f ca="1">IF(D32="楼面单价",ROUND(C19,0),C19)</f>
        <v>#REF!</v>
      </c>
      <c r="D102" s="2586" t="e">
        <f ca="1">IF(D32="楼面单价",ROUND(D19,0),D19)</f>
        <v>#REF!</v>
      </c>
      <c r="E102" s="3634"/>
      <c r="F102" s="3591"/>
      <c r="G102" s="1827" t="s">
        <v>1434</v>
      </c>
      <c r="H102" s="2555" t="e">
        <f ca="1">I118</f>
        <v>#REF!</v>
      </c>
      <c r="I102" s="129"/>
    </row>
    <row r="103" spans="1:35" ht="42.75" customHeight="1">
      <c r="A103" s="3593"/>
      <c r="B103" s="2584" t="s">
        <v>1434</v>
      </c>
      <c r="C103" s="2587" t="e">
        <f ca="1">C20</f>
        <v>#REF!</v>
      </c>
      <c r="D103" s="2588" t="e">
        <f ca="1">D20</f>
        <v>#REF!</v>
      </c>
      <c r="E103" s="3628" t="s">
        <v>1435</v>
      </c>
      <c r="F103" s="3629"/>
      <c r="G103" s="1828" t="s">
        <v>1436</v>
      </c>
      <c r="H103" s="2595">
        <f>IF(D36="正常操作",H104+H105+H106,H105+H106)</f>
        <v>0</v>
      </c>
      <c r="I103" s="129"/>
    </row>
    <row r="104" spans="1:35" ht="18.75" customHeight="1">
      <c r="A104" s="359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t="e">
        <f ca="1">IF(E107="——","——",H101-H103)</f>
        <v>#REF!</v>
      </c>
      <c r="I107" s="129"/>
    </row>
    <row r="108" spans="1:35" ht="18.75" customHeight="1">
      <c r="A108" s="129"/>
      <c r="B108" s="129"/>
      <c r="C108" s="129"/>
      <c r="D108" s="129"/>
      <c r="E108" s="3590"/>
      <c r="F108" s="3591"/>
      <c r="G108" s="1827" t="s">
        <v>1434</v>
      </c>
      <c r="H108" s="2555">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601" t="e">
        <f ca="1">NUMBERSTRING(INT(D118*10000),2)&amp;"元整"</f>
        <v>#REF!</v>
      </c>
      <c r="E119" s="3603"/>
      <c r="F119" s="3601" t="e">
        <f ca="1">NUMBERSTRING(INT(F118*10000),2)&amp;"元整"</f>
        <v>#REF!</v>
      </c>
      <c r="G119" s="3603"/>
      <c r="H119" s="3601" t="e">
        <f ca="1">NUMBERSTRING(INT(H118*10000),2)&amp;"元整"</f>
        <v>#REF!</v>
      </c>
      <c r="I119" s="3603"/>
    </row>
    <row r="120" spans="1:27" ht="18.75" customHeight="1">
      <c r="A120" s="3625" t="str">
        <f>IF(项目基本情况!B9="房地产市场价值","",MID(E103,3,LEN(E103)-2))</f>
        <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
      </c>
      <c r="B122" s="3592"/>
      <c r="C122" s="3592"/>
      <c r="D122" s="3625" t="e">
        <f ca="1">H107</f>
        <v>#REF!</v>
      </c>
      <c r="E122" s="3626"/>
      <c r="F122" s="3626"/>
      <c r="G122" s="3626"/>
      <c r="H122" s="3626"/>
      <c r="I122" s="3627"/>
      <c r="AA122" s="725"/>
    </row>
    <row r="123" spans="1:27" ht="18.75" customHeight="1">
      <c r="A123" s="3561" t="s">
        <v>1452</v>
      </c>
      <c r="B123" s="3561"/>
      <c r="C123" s="3561"/>
      <c r="D123" s="3601" t="e">
        <f ca="1">NUMBERSTRING(INT(D122*10000),2)&amp;"元整"</f>
        <v>#REF!</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41" t="s">
        <v>1544</v>
      </c>
    </row>
    <row r="43" spans="1:7" ht="13.5" customHeight="1">
      <c r="A43" s="780" t="s">
        <v>347</v>
      </c>
      <c r="B43" s="215" t="s">
        <v>1545</v>
      </c>
      <c r="C43" s="238" t="e">
        <f ca="1">ROUND(IF('数据-取费表'!B22&lt;=1,C39*F22*'数据-取费表'!B21/2,C39*(POWER((1+F22),'数据-取费表'!B21/2)-1)),0)</f>
        <v>#VALUE!</v>
      </c>
      <c r="D43" s="238"/>
      <c r="E43" s="238"/>
      <c r="F43" s="239"/>
      <c r="G43" s="3642"/>
    </row>
    <row r="44" spans="1:7" ht="13.5" customHeight="1">
      <c r="A44" s="780" t="s">
        <v>348</v>
      </c>
      <c r="B44" s="215" t="s">
        <v>1546</v>
      </c>
      <c r="C44" s="238" t="e">
        <f ca="1">ROUND(IF('数据-取费表'!B22&lt;=1,C40*F22*'数据-取费表'!B21/2,C40*(POWER((1+F22),'数据-取费表'!B21/2)-1)),4)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北京市房地产市场价值预评估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41" t="s">
        <v>1591</v>
      </c>
    </row>
    <row r="43" spans="1:7" ht="13.5" customHeight="1">
      <c r="A43" s="780" t="s">
        <v>347</v>
      </c>
      <c r="B43" s="215" t="s">
        <v>1545</v>
      </c>
      <c r="C43" s="238" t="e">
        <f ca="1">ROUND(IF('数据-取费表'!B22&lt;=1,C39*F22*'数据-取费表'!B20/2,C39*(POWER((1+F22),'数据-取费表'!B20/2)-1)),0)</f>
        <v>#VALUE!</v>
      </c>
      <c r="D43" s="238"/>
      <c r="E43" s="238"/>
      <c r="F43" s="239"/>
      <c r="G43" s="3642"/>
    </row>
    <row r="44" spans="1:7" ht="13.5" customHeight="1">
      <c r="A44" s="780" t="s">
        <v>348</v>
      </c>
      <c r="B44" s="215" t="s">
        <v>1546</v>
      </c>
      <c r="C44" s="238" t="e">
        <f ca="1">ROUND(IF('数据-取费表'!B22&lt;=1,C40*F22*'数据-取费表'!B20/2,C40*(POWER((1+F22),'数据-取费表'!B20/2)-1)),4)</f>
        <v>#VALUE!</v>
      </c>
      <c r="D44" s="238"/>
      <c r="E44" s="238"/>
      <c r="F44" s="239"/>
      <c r="G44" s="364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8"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8"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#VALUE!</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6"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6"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24.6"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2"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8" thickBot="1">
      <c r="A69" s="951"/>
      <c r="B69" s="952"/>
      <c r="C69" s="306"/>
      <c r="D69" s="970" t="s">
        <v>762</v>
      </c>
      <c r="E69" s="950" t="s">
        <v>763</v>
      </c>
      <c r="F69" s="333">
        <f ca="1">F41</f>
        <v>0</v>
      </c>
      <c r="O69" s="1428" t="s">
        <v>411</v>
      </c>
      <c r="P69" s="1467" t="s">
        <v>872</v>
      </c>
      <c r="Q69" s="1420" t="e">
        <f ca="1">C39</f>
        <v>#VALUE!</v>
      </c>
      <c r="R69" s="1420" t="s">
        <v>818</v>
      </c>
    </row>
    <row r="70" spans="1:18" s="1384" customFormat="1" ht="13.8" thickBot="1">
      <c r="A70" s="954"/>
      <c r="B70" s="955"/>
      <c r="C70" s="310"/>
      <c r="D70" s="966"/>
      <c r="E70" s="950" t="s">
        <v>766</v>
      </c>
      <c r="F70" s="1054"/>
      <c r="O70" s="1428" t="s">
        <v>412</v>
      </c>
      <c r="P70" s="1467" t="s">
        <v>873</v>
      </c>
      <c r="Q70" s="1420" t="e">
        <f ca="1">C13</f>
        <v>#VALUE!</v>
      </c>
      <c r="R70" s="1420" t="s">
        <v>818</v>
      </c>
    </row>
    <row r="71" spans="1:18" s="1384" customFormat="1" ht="13.8"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2"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2"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3" zoomScale="70" zoomScaleNormal="60" zoomScaleSheetLayoutView="70" workbookViewId="0">
      <selection activeCell="K17" sqref="K17"/>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c r="A5" s="358"/>
      <c r="B5" s="359"/>
      <c r="C5" s="3707" t="s">
        <v>1673</v>
      </c>
      <c r="D5" s="3708"/>
      <c r="E5" s="3714" t="str">
        <f>案例!A3</f>
        <v>和谐雅园</v>
      </c>
      <c r="F5" s="3715"/>
      <c r="G5" s="3707" t="str">
        <f>案例!A4</f>
        <v>百环家园</v>
      </c>
      <c r="H5" s="3708"/>
      <c r="I5" s="3707" t="str">
        <f>案例!A5</f>
        <v>九龙花园</v>
      </c>
      <c r="J5" s="3708"/>
      <c r="K5" s="1890"/>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f>C7</f>
        <v>45736</v>
      </c>
      <c r="F7" s="367">
        <f>SUMIF(58:58,YEAR(E7)&amp;"-"&amp;MONTH(E7),59:59)</f>
        <v>100</v>
      </c>
      <c r="G7" s="366">
        <f>C7</f>
        <v>45736</v>
      </c>
      <c r="H7" s="365">
        <f>SUMIF(58:58,YEAR(G7)&amp;"-"&amp;MONTH(G7),59:59)</f>
        <v>100</v>
      </c>
      <c r="I7" s="366">
        <f>C7</f>
        <v>45736</v>
      </c>
      <c r="J7" s="365">
        <f>SUMIF(58:58,YEAR(I7)&amp;"-"&amp;MONTH(I7),59:59)</f>
        <v>100</v>
      </c>
      <c r="K7" s="1891"/>
      <c r="L7" s="2717"/>
      <c r="M7" s="2718"/>
      <c r="N7" s="2718"/>
      <c r="O7" s="2718"/>
      <c r="P7" s="3709" t="s">
        <v>1680</v>
      </c>
      <c r="Q7" s="3711"/>
      <c r="R7" s="701" t="s">
        <v>20</v>
      </c>
      <c r="S7" s="702">
        <f t="shared" ref="S7:S15" si="0">F7</f>
        <v>100</v>
      </c>
      <c r="T7" s="701" t="s">
        <v>20</v>
      </c>
      <c r="U7" s="702">
        <f t="shared" ref="U7:U15" si="1">H7</f>
        <v>100</v>
      </c>
      <c r="V7" s="701" t="s">
        <v>20</v>
      </c>
      <c r="W7" s="702">
        <f t="shared" ref="W7:W15" si="2">J7</f>
        <v>100</v>
      </c>
      <c r="X7" s="703"/>
      <c r="Y7" s="3709" t="s">
        <v>1680</v>
      </c>
      <c r="Z7" s="3710"/>
      <c r="AA7" s="704">
        <f>D7/F7</f>
        <v>1</v>
      </c>
      <c r="AB7" s="704">
        <f>D7/H7</f>
        <v>1</v>
      </c>
      <c r="AC7" s="704">
        <f>D7/J7</f>
        <v>1</v>
      </c>
    </row>
    <row r="8" spans="1:29" s="108" customFormat="1" ht="15" thickBot="1">
      <c r="A8" s="362" t="s">
        <v>1681</v>
      </c>
      <c r="B8" s="363"/>
      <c r="C8" s="368" t="s">
        <v>3410</v>
      </c>
      <c r="D8" s="365">
        <v>100</v>
      </c>
      <c r="E8" s="1892" t="s">
        <v>3410</v>
      </c>
      <c r="F8" s="367">
        <f>SUMIF(61:61,E8,62:62)-SUMIF(61:61,C8,62:62)+100</f>
        <v>100</v>
      </c>
      <c r="G8" s="368" t="s">
        <v>3410</v>
      </c>
      <c r="H8" s="365">
        <f>SUMIF(61:61,G8,62:62)-SUMIF(61:61,C8,62:62)+100</f>
        <v>100</v>
      </c>
      <c r="I8" s="1892" t="s">
        <v>3410</v>
      </c>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v>1.2</v>
      </c>
      <c r="D11" s="127">
        <v>100</v>
      </c>
      <c r="E11" s="381">
        <v>2.5</v>
      </c>
      <c r="F11" s="376">
        <f>LOOKUP(E11,68:68,69:69)-LOOKUP(C11,68:68,69:69)+100</f>
        <v>100</v>
      </c>
      <c r="G11" s="380">
        <v>2.9</v>
      </c>
      <c r="H11" s="127">
        <f>LOOKUP(G11,68:68,69:69)-LOOKUP(C11,68:68,69:69)+100</f>
        <v>100</v>
      </c>
      <c r="I11" s="380">
        <v>2.9</v>
      </c>
      <c r="J11" s="127">
        <f>LOOKUP(I11,68:68,69:69)-LOOKUP(C11,68:68,69:69)+100</f>
        <v>100</v>
      </c>
      <c r="K11" s="377"/>
      <c r="L11" s="2721"/>
      <c r="M11" s="2716"/>
      <c r="N11" s="2716"/>
      <c r="O11" s="2716"/>
      <c r="P11" s="3684"/>
      <c r="Q11" s="1343" t="str">
        <f t="shared" si="6"/>
        <v>容积率</v>
      </c>
      <c r="R11" s="701" t="s">
        <v>18</v>
      </c>
      <c r="S11" s="702">
        <f t="shared" si="0"/>
        <v>100</v>
      </c>
      <c r="T11" s="701" t="s">
        <v>18</v>
      </c>
      <c r="U11" s="702">
        <f t="shared" si="1"/>
        <v>100</v>
      </c>
      <c r="V11" s="701" t="s">
        <v>18</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112</v>
      </c>
      <c r="I17" s="403"/>
      <c r="J17" s="406">
        <f>SUMIF(78:78,I18,79:79)-SUMIF(78:78,C18,79:79)+100</f>
        <v>100</v>
      </c>
      <c r="K17" s="396">
        <v>12</v>
      </c>
      <c r="L17" s="2722"/>
      <c r="M17" s="2716"/>
      <c r="N17" s="2716"/>
      <c r="O17" s="2716"/>
      <c r="P17" s="3683"/>
      <c r="Q17" s="1352" t="str">
        <f>B17</f>
        <v>交通便捷度</v>
      </c>
      <c r="R17" s="705" t="s">
        <v>18</v>
      </c>
      <c r="S17" s="706">
        <f>F17</f>
        <v>100</v>
      </c>
      <c r="T17" s="705" t="s">
        <v>18</v>
      </c>
      <c r="U17" s="706">
        <f>H17</f>
        <v>112</v>
      </c>
      <c r="V17" s="705" t="s">
        <v>18</v>
      </c>
      <c r="W17" s="706">
        <f>J17</f>
        <v>100</v>
      </c>
      <c r="X17" s="1355"/>
      <c r="Y17" s="3676"/>
      <c r="Z17" s="1356" t="str">
        <f>Q17</f>
        <v>交通便捷度</v>
      </c>
      <c r="AA17" s="1353">
        <f t="shared" si="3"/>
        <v>1</v>
      </c>
      <c r="AB17" s="1353">
        <f t="shared" si="4"/>
        <v>0.8928571428571429</v>
      </c>
      <c r="AC17" s="1353">
        <f t="shared" si="5"/>
        <v>1</v>
      </c>
    </row>
    <row r="18" spans="1:29" ht="15">
      <c r="A18" s="379"/>
      <c r="B18" s="407"/>
      <c r="C18" s="1901" t="s">
        <v>3421</v>
      </c>
      <c r="D18" s="401"/>
      <c r="E18" s="1902" t="s">
        <v>3421</v>
      </c>
      <c r="F18" s="401"/>
      <c r="G18" s="1903" t="s">
        <v>3422</v>
      </c>
      <c r="H18" s="399"/>
      <c r="I18" s="1903" t="s">
        <v>3421</v>
      </c>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6" thickBot="1">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t="s">
        <v>3418</v>
      </c>
      <c r="D32" s="418">
        <v>100</v>
      </c>
      <c r="E32" s="1911" t="s">
        <v>3416</v>
      </c>
      <c r="F32" s="412">
        <f>SUMIF(100:100,E32,101:101)-SUMIF(100:100,C32,101:101)+100</f>
        <v>108</v>
      </c>
      <c r="G32" s="1910" t="s">
        <v>3418</v>
      </c>
      <c r="H32" s="418">
        <f>SUMIF(100:100,G32,101:101)-SUMIF(100:100,C32,101:101)+100</f>
        <v>100</v>
      </c>
      <c r="I32" s="1911" t="s">
        <v>3418</v>
      </c>
      <c r="J32" s="386">
        <f>SUMIF(100:100,I32,101:101)-SUMIF(100:100,C32,101:101)+100</f>
        <v>100</v>
      </c>
      <c r="K32" s="377">
        <v>8</v>
      </c>
      <c r="L32" s="2722"/>
      <c r="M32" s="2716"/>
      <c r="N32" s="2716"/>
      <c r="O32" s="2716"/>
      <c r="P32" s="3677" t="s">
        <v>1696</v>
      </c>
      <c r="Q32" s="1352" t="str">
        <f t="shared" si="11"/>
        <v>建筑类型</v>
      </c>
      <c r="R32" s="705" t="s">
        <v>18</v>
      </c>
      <c r="S32" s="706">
        <f t="shared" si="12"/>
        <v>108</v>
      </c>
      <c r="T32" s="705" t="s">
        <v>18</v>
      </c>
      <c r="U32" s="706">
        <f t="shared" si="13"/>
        <v>100</v>
      </c>
      <c r="V32" s="705" t="s">
        <v>18</v>
      </c>
      <c r="W32" s="706">
        <f t="shared" si="14"/>
        <v>100</v>
      </c>
      <c r="X32" s="1355"/>
      <c r="Y32" s="3680" t="s">
        <v>1696</v>
      </c>
      <c r="Z32" s="1356" t="str">
        <f t="shared" si="18"/>
        <v>建筑类型</v>
      </c>
      <c r="AA32" s="1353">
        <f t="shared" si="15"/>
        <v>0.92592592592592593</v>
      </c>
      <c r="AB32" s="1353">
        <f t="shared" si="16"/>
        <v>1</v>
      </c>
      <c r="AC32" s="1353">
        <f t="shared" si="17"/>
        <v>1</v>
      </c>
    </row>
    <row r="33" spans="1:29" s="422" customFormat="1" ht="15">
      <c r="A33" s="419"/>
      <c r="B33" s="375" t="s">
        <v>1697</v>
      </c>
      <c r="C33" s="420">
        <v>6000</v>
      </c>
      <c r="D33" s="127">
        <v>100</v>
      </c>
      <c r="E33" s="381">
        <v>3054</v>
      </c>
      <c r="F33" s="376">
        <f>LOOKUP(E33,103:103,104:104)-LOOKUP(C33,103:103,104:104)+100</f>
        <v>108</v>
      </c>
      <c r="G33" s="380">
        <v>4758</v>
      </c>
      <c r="H33" s="127">
        <f>LOOKUP(G33,103:103,104:104)-LOOKUP(C33,103:103,104:104)+100</f>
        <v>104</v>
      </c>
      <c r="I33" s="381">
        <v>2732</v>
      </c>
      <c r="J33" s="127">
        <f>LOOKUP(I33,103:103,104:104)-LOOKUP(C33,103:103,104:104)+100</f>
        <v>112</v>
      </c>
      <c r="K33" s="1894"/>
      <c r="L33" s="2721"/>
      <c r="M33" s="2723"/>
      <c r="N33" s="2723"/>
      <c r="O33" s="2723"/>
      <c r="P33" s="3678"/>
      <c r="Q33" s="707" t="str">
        <f t="shared" si="11"/>
        <v>项目建筑规模</v>
      </c>
      <c r="R33" s="708" t="s">
        <v>18</v>
      </c>
      <c r="S33" s="709">
        <f t="shared" si="12"/>
        <v>108</v>
      </c>
      <c r="T33" s="708" t="s">
        <v>18</v>
      </c>
      <c r="U33" s="709">
        <f t="shared" si="13"/>
        <v>104</v>
      </c>
      <c r="V33" s="708" t="s">
        <v>18</v>
      </c>
      <c r="W33" s="709">
        <f t="shared" si="14"/>
        <v>112</v>
      </c>
      <c r="X33" s="710"/>
      <c r="Y33" s="3680"/>
      <c r="Z33" s="711" t="str">
        <f t="shared" si="18"/>
        <v>项目建筑规模</v>
      </c>
      <c r="AA33" s="1353">
        <f t="shared" si="15"/>
        <v>0.92592592592592593</v>
      </c>
      <c r="AB33" s="1353">
        <f t="shared" si="16"/>
        <v>0.96153846153846156</v>
      </c>
      <c r="AC33" s="1353">
        <f t="shared" si="17"/>
        <v>0.8928571428571429</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hidden="1">
      <c r="A37" s="424"/>
      <c r="B37" s="375" t="s">
        <v>1701</v>
      </c>
      <c r="C37" s="425">
        <v>0.9</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7"/>
      <c r="M37" s="2718"/>
      <c r="N37" s="2718"/>
      <c r="O37" s="2718"/>
      <c r="P37" s="3678"/>
      <c r="Q37" s="1343" t="str">
        <f t="shared" si="11"/>
        <v>成新度</v>
      </c>
      <c r="R37" s="701" t="s">
        <v>18</v>
      </c>
      <c r="S37" s="702">
        <f t="shared" si="12"/>
        <v>100</v>
      </c>
      <c r="T37" s="701" t="s">
        <v>18</v>
      </c>
      <c r="U37" s="702">
        <f t="shared" si="13"/>
        <v>100</v>
      </c>
      <c r="V37" s="701" t="s">
        <v>18</v>
      </c>
      <c r="W37" s="702">
        <f t="shared" si="14"/>
        <v>100</v>
      </c>
      <c r="X37" s="703"/>
      <c r="Y37" s="3680"/>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3802" t="s">
        <v>3414</v>
      </c>
      <c r="C44" s="420">
        <v>6000</v>
      </c>
      <c r="D44" s="127">
        <v>100</v>
      </c>
      <c r="E44" s="420">
        <v>3054</v>
      </c>
      <c r="F44" s="376">
        <f>SUMIF(126:126,E44,127:127)-SUMIF(126:126,C44,127:127)+100</f>
        <v>100</v>
      </c>
      <c r="G44" s="420">
        <v>4758</v>
      </c>
      <c r="H44" s="127">
        <f>SUMIF(126:126,G44,127:127)-SUMIF(126:126,C44,127:127)+100</f>
        <v>100</v>
      </c>
      <c r="I44" s="420">
        <v>2732</v>
      </c>
      <c r="J44" s="127">
        <f>SUMIF(126:126,I44,127:127)-SUMIF(126:126,C44,127:127)+100</f>
        <v>100</v>
      </c>
      <c r="K44" s="1894"/>
      <c r="L44" s="2717"/>
      <c r="M44" s="2718"/>
      <c r="N44" s="2718"/>
      <c r="O44" s="2718"/>
      <c r="P44" s="3678"/>
      <c r="Q44" s="1343" t="str">
        <f t="shared" si="11"/>
        <v>户数</v>
      </c>
      <c r="R44" s="701" t="s">
        <v>18</v>
      </c>
      <c r="S44" s="702">
        <f t="shared" si="12"/>
        <v>100</v>
      </c>
      <c r="T44" s="701" t="s">
        <v>18</v>
      </c>
      <c r="U44" s="702">
        <f t="shared" si="13"/>
        <v>100</v>
      </c>
      <c r="V44" s="701" t="s">
        <v>18</v>
      </c>
      <c r="W44" s="702">
        <f t="shared" si="14"/>
        <v>100</v>
      </c>
      <c r="X44" s="703"/>
      <c r="Y44" s="3680"/>
      <c r="Z44" s="52" t="str">
        <f t="shared" si="18"/>
        <v>户数</v>
      </c>
      <c r="AA44" s="704">
        <f t="shared" si="15"/>
        <v>1</v>
      </c>
      <c r="AB44" s="704">
        <f t="shared" si="16"/>
        <v>1</v>
      </c>
      <c r="AC44" s="704">
        <f t="shared" si="17"/>
        <v>1</v>
      </c>
    </row>
    <row r="45" spans="1:29" ht="15">
      <c r="A45" s="423"/>
      <c r="B45" s="3802" t="s">
        <v>3415</v>
      </c>
      <c r="C45" s="385">
        <v>1994</v>
      </c>
      <c r="D45" s="386">
        <v>100</v>
      </c>
      <c r="E45" s="385">
        <v>2008</v>
      </c>
      <c r="F45" s="412">
        <f>SUMIF(128:128,E45,129:129)-SUMIF(128:128,C45,129:129)+100</f>
        <v>107</v>
      </c>
      <c r="G45" s="385">
        <v>2005</v>
      </c>
      <c r="H45" s="386">
        <f>SUMIF(128:128,G45,129:129)-SUMIF(128:128,C45,129:129)+100</f>
        <v>105.5</v>
      </c>
      <c r="I45" s="385">
        <v>2013</v>
      </c>
      <c r="J45" s="386">
        <f>SUMIF(128:128,I45,129:129)-SUMIF(128:128,C45,129:129)+100</f>
        <v>109.5</v>
      </c>
      <c r="K45" s="1894"/>
      <c r="L45" s="2722"/>
      <c r="M45" s="2716"/>
      <c r="N45" s="2716"/>
      <c r="O45" s="2716"/>
      <c r="P45" s="3678"/>
      <c r="Q45" s="1352" t="str">
        <f t="shared" si="11"/>
        <v>建成年代</v>
      </c>
      <c r="R45" s="705" t="s">
        <v>18</v>
      </c>
      <c r="S45" s="706">
        <f t="shared" si="12"/>
        <v>107</v>
      </c>
      <c r="T45" s="705" t="s">
        <v>18</v>
      </c>
      <c r="U45" s="706">
        <f t="shared" si="13"/>
        <v>105.5</v>
      </c>
      <c r="V45" s="705" t="s">
        <v>18</v>
      </c>
      <c r="W45" s="706">
        <f t="shared" si="14"/>
        <v>109.5</v>
      </c>
      <c r="X45" s="1355"/>
      <c r="Y45" s="3680"/>
      <c r="Z45" s="1356" t="str">
        <f t="shared" si="18"/>
        <v>建成年代</v>
      </c>
      <c r="AA45" s="1353">
        <f t="shared" si="15"/>
        <v>0.93457943925233644</v>
      </c>
      <c r="AB45" s="1353">
        <f t="shared" si="16"/>
        <v>0.94786729857819907</v>
      </c>
      <c r="AC45" s="1353">
        <f t="shared" si="17"/>
        <v>0.91324200913242004</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4.4">
      <c r="A47" s="430" t="s">
        <v>1708</v>
      </c>
      <c r="B47" s="431"/>
      <c r="C47" s="1154" t="s">
        <v>16</v>
      </c>
      <c r="D47" s="1155"/>
      <c r="E47" s="1156">
        <f>案例!B3</f>
        <v>101.6</v>
      </c>
      <c r="F47" s="1157"/>
      <c r="G47" s="1158">
        <f>案例!B4</f>
        <v>110.7</v>
      </c>
      <c r="H47" s="1159"/>
      <c r="I47" s="1156">
        <f>案例!B5</f>
        <v>100.2</v>
      </c>
      <c r="J47" s="1159"/>
      <c r="K47" s="1914"/>
      <c r="L47" s="2724"/>
      <c r="M47" s="2725"/>
      <c r="N47" s="2716"/>
      <c r="O47" s="2725"/>
      <c r="P47" s="3673" t="str">
        <f>A47</f>
        <v>成交单价（元/平方米）</v>
      </c>
      <c r="Q47" s="3673"/>
      <c r="R47" s="3674">
        <f>E47</f>
        <v>101.6</v>
      </c>
      <c r="S47" s="3674"/>
      <c r="T47" s="3674">
        <f>G47</f>
        <v>110.7</v>
      </c>
      <c r="U47" s="3674"/>
      <c r="V47" s="3674">
        <f>I47</f>
        <v>100.2</v>
      </c>
      <c r="W47" s="3674"/>
      <c r="X47" s="690"/>
      <c r="Y47" s="712"/>
      <c r="Z47" s="690"/>
      <c r="AA47" s="690"/>
      <c r="AB47" s="690"/>
      <c r="AC47" s="690"/>
    </row>
    <row r="48" spans="1:29" ht="15" thickBot="1">
      <c r="A48" s="437" t="s">
        <v>1709</v>
      </c>
      <c r="B48" s="438"/>
      <c r="C48" s="1160">
        <f>R49</f>
        <v>84.4</v>
      </c>
      <c r="D48" s="2317" t="s">
        <v>2138</v>
      </c>
      <c r="E48" s="1161">
        <f>R48</f>
        <v>81.400000000000006</v>
      </c>
      <c r="F48" s="2318"/>
      <c r="G48" s="1160">
        <f>T48</f>
        <v>90.1</v>
      </c>
      <c r="H48" s="2318"/>
      <c r="I48" s="1161">
        <f>V48</f>
        <v>81.7</v>
      </c>
      <c r="J48" s="2318"/>
      <c r="K48" s="2319">
        <f>F48+H48+J48</f>
        <v>0</v>
      </c>
      <c r="L48" s="2724"/>
      <c r="M48" s="2725"/>
      <c r="N48" s="2725"/>
      <c r="O48" s="2725"/>
      <c r="P48" s="3673" t="str">
        <f>A48</f>
        <v>比较价值（元/平方米）</v>
      </c>
      <c r="Q48" s="3673"/>
      <c r="R48" s="3674">
        <f>IF(F1="售价",ROUND(PRODUCT(R47,AA7:AA46),0),ROUND(PRODUCT(R47,AA7:AA46),1))</f>
        <v>81.400000000000006</v>
      </c>
      <c r="S48" s="3674"/>
      <c r="T48" s="3674">
        <f>IF(F1="售价",ROUND(PRODUCT(T47,AB7:AB46),0),ROUND(PRODUCT(T47,AB7:AB46),1))</f>
        <v>90.1</v>
      </c>
      <c r="U48" s="3674"/>
      <c r="V48" s="3674">
        <f>IF(F1="售价",ROUND(PRODUCT(V47,AC7:AC46),0),ROUND(PRODUCT(V47,AC7:AC46),1))</f>
        <v>81.7</v>
      </c>
      <c r="W48" s="3674"/>
      <c r="X48" s="690"/>
      <c r="Y48" s="690"/>
      <c r="Z48" s="690"/>
      <c r="AA48" s="690"/>
      <c r="AB48" s="690"/>
      <c r="AC48" s="690"/>
    </row>
    <row r="49" spans="1:29" ht="15" thickBot="1">
      <c r="A49" s="441" t="s">
        <v>1710</v>
      </c>
      <c r="B49" s="442"/>
      <c r="C49" s="1162">
        <f>R49</f>
        <v>84.4</v>
      </c>
      <c r="D49" s="1163"/>
      <c r="E49" s="1163"/>
      <c r="F49" s="1163"/>
      <c r="G49" s="1163"/>
      <c r="H49" s="1163"/>
      <c r="I49" s="1163"/>
      <c r="J49" s="1163"/>
      <c r="K49" s="1915"/>
      <c r="L49" s="2724"/>
      <c r="M49" s="2725"/>
      <c r="N49" s="2725"/>
      <c r="O49" s="2725"/>
      <c r="P49" s="3670" t="str">
        <f>A49</f>
        <v>估价对象XX用房的比较价值（楼面单价，元/平方米）</v>
      </c>
      <c r="Q49" s="3671"/>
      <c r="R49" s="3672">
        <f>IF(F1="售价",ROUND(IF(D48="简单平均",AVERAGE(R48:V48),R48*F48+T48*H48+V48*J48),0),ROUND(IF(D48="简单平均",AVERAGE(R48:V48),R48*F48+T48*H48+V48*J48),1))</f>
        <v>84.4</v>
      </c>
      <c r="S49" s="3672"/>
      <c r="T49" s="3672"/>
      <c r="U49" s="3672"/>
      <c r="V49" s="3672"/>
      <c r="W49" s="3672"/>
      <c r="X49" s="690"/>
      <c r="Y49" s="690"/>
      <c r="Z49" s="690"/>
      <c r="AA49" s="690"/>
      <c r="AB49" s="690"/>
      <c r="AC49" s="690"/>
    </row>
    <row r="50" spans="1:29">
      <c r="A50" s="2725"/>
      <c r="B50" s="2725"/>
      <c r="C50" s="2725">
        <f>ROUND((E50+G50+I50)/3,1)</f>
        <v>82.2</v>
      </c>
      <c r="D50" s="2725"/>
      <c r="E50" s="2725">
        <f>E48-案例!L9</f>
        <v>78.410000000000011</v>
      </c>
      <c r="F50" s="2725"/>
      <c r="G50" s="2725">
        <f>G48-案例!L39</f>
        <v>88.72999999999999</v>
      </c>
      <c r="H50" s="2725"/>
      <c r="I50" s="2725">
        <f>I48-案例!L76</f>
        <v>79.56</v>
      </c>
      <c r="J50" s="2725"/>
      <c r="K50" s="2730"/>
      <c r="L50" s="2726"/>
      <c r="M50" s="2725"/>
      <c r="N50" s="2725"/>
      <c r="O50" s="2725"/>
    </row>
    <row r="51" spans="1:29">
      <c r="A51" s="2725"/>
      <c r="B51" s="2725"/>
      <c r="C51" s="2725">
        <f>C50-2.5</f>
        <v>79.7</v>
      </c>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0.24815724815724804</v>
      </c>
      <c r="F52" s="449" t="str">
        <f>IF(OR(E52&gt;=0.3,E52&lt;=-0.3),"超过30%","")</f>
        <v/>
      </c>
      <c r="G52" s="448">
        <f>IF(G47&lt;G48,G48/G47-1,G47/G48-1)</f>
        <v>0.22863485016648188</v>
      </c>
      <c r="H52" s="449" t="str">
        <f>IF(OR(G52&gt;=0.3,G52&lt;=-0.3),"超过30%","")</f>
        <v/>
      </c>
      <c r="I52" s="448">
        <f>IF(I47&lt;I48,I48/I47-1,I47/I48-1)</f>
        <v>0.22643818849449193</v>
      </c>
      <c r="J52" s="449" t="str">
        <f>IF(OR(I52&gt;=0.3,I52&lt;=-0.3),"超过30%","")</f>
        <v/>
      </c>
      <c r="K52" s="2730"/>
      <c r="L52" s="2726"/>
      <c r="M52" s="2725"/>
      <c r="N52" s="2725"/>
      <c r="O52" s="2725"/>
    </row>
    <row r="53" spans="1:29" ht="13.5" customHeight="1">
      <c r="A53" s="2725"/>
      <c r="B53" s="2725"/>
      <c r="C53" s="446" t="s">
        <v>1712</v>
      </c>
      <c r="D53" s="450"/>
      <c r="E53" s="448">
        <f>IF(E48&lt;G48,G48/E48-1,E48/G48-1)</f>
        <v>0.10687960687960674</v>
      </c>
      <c r="F53" s="449" t="str">
        <f>IF(OR(E53&gt;=0.2,E53&lt;=-0.2),"超过20%","")</f>
        <v/>
      </c>
      <c r="G53" s="448">
        <f>IF(G48&lt;I48,I48/G48-1,G48/I48-1)</f>
        <v>0.10281517747858016</v>
      </c>
      <c r="H53" s="449" t="str">
        <f>IF(OR(G53&gt;=0.2,G53&lt;=-0.2),"超过20%","")</f>
        <v/>
      </c>
      <c r="I53" s="448">
        <f>IF(I48&lt;E48,E48/I48-1,I48/E48-1)</f>
        <v>3.6855036855036882E-3</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8.9566929133858331E-2</v>
      </c>
      <c r="F54" s="449" t="str">
        <f>IF(OR(E54&gt;=0.3,E54&lt;=-0.3),"超过30%","")</f>
        <v/>
      </c>
      <c r="G54" s="448">
        <f>IF(G47&lt;I47,I47/G47-1,G47/I47-1)</f>
        <v>0.10479041916167664</v>
      </c>
      <c r="H54" s="449" t="str">
        <f>IF(OR(G54&gt;=0.3,G54&lt;=-0.3),"超过30%","")</f>
        <v/>
      </c>
      <c r="I54" s="448">
        <f>IF(I47&lt;E47,E47/I47-1,I47/E47-1)</f>
        <v>1.3972055888223478E-2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88</v>
      </c>
      <c r="E79" s="493">
        <f>D79-$K17</f>
        <v>76</v>
      </c>
      <c r="F79" s="493">
        <f>E79-$K17</f>
        <v>64</v>
      </c>
      <c r="G79" s="493">
        <f>F79-$K17</f>
        <v>52</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hidden="1" thickTop="1">
      <c r="A90" s="502"/>
      <c r="B90" s="487">
        <f>B27</f>
        <v>111</v>
      </c>
      <c r="C90" s="503"/>
      <c r="D90" s="503"/>
      <c r="E90" s="503"/>
      <c r="F90" s="503"/>
      <c r="G90" s="503"/>
      <c r="H90" s="504"/>
      <c r="I90" s="504"/>
      <c r="J90" s="504"/>
      <c r="K90" s="504"/>
      <c r="L90" s="505"/>
      <c r="M90" s="506"/>
      <c r="N90" s="935"/>
      <c r="O90" s="935"/>
      <c r="P90" s="1923"/>
      <c r="Q90" s="508"/>
    </row>
    <row r="91" spans="1:17" s="422" customFormat="1" ht="14.4" hidden="1" thickBot="1">
      <c r="A91" s="502"/>
      <c r="B91" s="492"/>
      <c r="C91" s="509"/>
      <c r="D91" s="509"/>
      <c r="E91" s="509"/>
      <c r="F91" s="509"/>
      <c r="G91" s="509"/>
      <c r="H91" s="511"/>
      <c r="I91" s="511"/>
      <c r="J91" s="511"/>
      <c r="K91" s="511"/>
      <c r="L91" s="511"/>
      <c r="M91" s="512"/>
      <c r="N91" s="935"/>
      <c r="O91" s="935"/>
      <c r="P91" s="1923"/>
      <c r="Q91" s="508"/>
    </row>
    <row r="92" spans="1:17" ht="14.4" hidden="1" thickTop="1">
      <c r="A92" s="483"/>
      <c r="B92" s="487">
        <f>B28</f>
        <v>111</v>
      </c>
      <c r="C92" s="503"/>
      <c r="D92" s="503"/>
      <c r="E92" s="503"/>
      <c r="F92" s="503"/>
      <c r="G92" s="532"/>
      <c r="H92" s="532"/>
      <c r="I92" s="532"/>
      <c r="J92" s="532"/>
      <c r="K92" s="533"/>
      <c r="L92" s="534"/>
      <c r="M92" s="535"/>
      <c r="N92" s="933"/>
      <c r="O92" s="933"/>
      <c r="P92" s="1922"/>
      <c r="Q92" s="453"/>
    </row>
    <row r="93" spans="1:17" ht="14.4" hidden="1" thickBot="1">
      <c r="A93" s="483"/>
      <c r="B93" s="492"/>
      <c r="C93" s="509"/>
      <c r="D93" s="485"/>
      <c r="E93" s="485"/>
      <c r="F93" s="485"/>
      <c r="G93" s="485"/>
      <c r="H93" s="485"/>
      <c r="I93" s="485"/>
      <c r="J93" s="485"/>
      <c r="K93" s="485"/>
      <c r="L93" s="485"/>
      <c r="M93" s="486"/>
      <c r="N93" s="934"/>
      <c r="O93" s="934"/>
      <c r="P93" s="1922"/>
      <c r="Q93" s="453"/>
    </row>
    <row r="94" spans="1:17" ht="14.4" hidden="1" thickTop="1">
      <c r="A94" s="483"/>
      <c r="B94" s="487">
        <f>B29</f>
        <v>111</v>
      </c>
      <c r="C94" s="503"/>
      <c r="D94" s="503"/>
      <c r="E94" s="503"/>
      <c r="F94" s="503"/>
      <c r="G94" s="532"/>
      <c r="H94" s="532"/>
      <c r="I94" s="532"/>
      <c r="J94" s="532"/>
      <c r="K94" s="533"/>
      <c r="L94" s="534"/>
      <c r="M94" s="535"/>
      <c r="N94" s="933"/>
      <c r="O94" s="933"/>
      <c r="P94" s="1922"/>
      <c r="Q94" s="453"/>
    </row>
    <row r="95" spans="1:17" ht="14.4" hidden="1" thickBot="1">
      <c r="A95" s="483"/>
      <c r="B95" s="492"/>
      <c r="C95" s="509"/>
      <c r="D95" s="509"/>
      <c r="E95" s="509"/>
      <c r="F95" s="509"/>
      <c r="G95" s="485"/>
      <c r="H95" s="485"/>
      <c r="I95" s="485"/>
      <c r="J95" s="485"/>
      <c r="K95" s="485"/>
      <c r="L95" s="485"/>
      <c r="M95" s="486"/>
      <c r="N95" s="934"/>
      <c r="O95" s="934"/>
      <c r="P95" s="1922"/>
      <c r="Q95" s="453"/>
    </row>
    <row r="96" spans="1:17" ht="14.4" hidden="1" thickTop="1">
      <c r="A96" s="483"/>
      <c r="B96" s="487">
        <f>B30</f>
        <v>111</v>
      </c>
      <c r="C96" s="503"/>
      <c r="D96" s="503"/>
      <c r="E96" s="503"/>
      <c r="F96" s="503"/>
      <c r="G96" s="532"/>
      <c r="H96" s="532"/>
      <c r="I96" s="532"/>
      <c r="J96" s="532"/>
      <c r="K96" s="533"/>
      <c r="L96" s="534"/>
      <c r="M96" s="535"/>
      <c r="N96" s="933"/>
      <c r="O96" s="933"/>
      <c r="P96" s="1922"/>
      <c r="Q96" s="453"/>
    </row>
    <row r="97" spans="1:17" ht="14.4" hidden="1" thickBot="1">
      <c r="A97" s="483"/>
      <c r="B97" s="492"/>
      <c r="C97" s="519"/>
      <c r="D97" s="519"/>
      <c r="E97" s="519"/>
      <c r="F97" s="519"/>
      <c r="G97" s="485"/>
      <c r="H97" s="485"/>
      <c r="I97" s="485"/>
      <c r="J97" s="485"/>
      <c r="K97" s="485"/>
      <c r="L97" s="485"/>
      <c r="M97" s="486"/>
      <c r="N97" s="934"/>
      <c r="O97" s="934"/>
      <c r="P97" s="1922"/>
      <c r="Q97" s="453"/>
    </row>
    <row r="98" spans="1:17" ht="14.4" hidden="1" thickTop="1">
      <c r="A98" s="483"/>
      <c r="B98" s="495">
        <f>B31</f>
        <v>111</v>
      </c>
      <c r="C98" s="536"/>
      <c r="D98" s="536"/>
      <c r="E98" s="536"/>
      <c r="F98" s="536"/>
      <c r="G98" s="536"/>
      <c r="H98" s="536"/>
      <c r="I98" s="536"/>
      <c r="J98" s="536"/>
      <c r="K98" s="537"/>
      <c r="L98" s="538"/>
      <c r="M98" s="539"/>
      <c r="N98" s="933"/>
      <c r="O98" s="933"/>
      <c r="P98" s="1922"/>
      <c r="Q98" s="453"/>
    </row>
    <row r="99" spans="1:17" ht="14.4" hidden="1" thickBot="1">
      <c r="A99" s="1928"/>
      <c r="B99" s="518"/>
      <c r="C99" s="540"/>
      <c r="D99" s="540"/>
      <c r="E99" s="540"/>
      <c r="F99" s="540"/>
      <c r="G99" s="540"/>
      <c r="H99" s="540"/>
      <c r="I99" s="540"/>
      <c r="J99" s="540"/>
      <c r="K99" s="540"/>
      <c r="L99" s="540"/>
      <c r="M99" s="541"/>
      <c r="N99" s="934"/>
      <c r="O99" s="934"/>
      <c r="P99" s="1922"/>
      <c r="Q99" s="453"/>
    </row>
    <row r="100" spans="1:17" ht="15" thickTop="1">
      <c r="A100" s="476" t="s">
        <v>1694</v>
      </c>
      <c r="B100" s="477" t="s">
        <v>1736</v>
      </c>
      <c r="C100" s="3803" t="s">
        <v>3417</v>
      </c>
      <c r="D100" s="3803" t="s">
        <v>3419</v>
      </c>
      <c r="E100" s="3803" t="s">
        <v>3420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92</v>
      </c>
      <c r="E101" s="493">
        <f t="shared" si="25"/>
        <v>84</v>
      </c>
      <c r="F101" s="493">
        <f t="shared" si="25"/>
        <v>76</v>
      </c>
      <c r="G101" s="493">
        <f t="shared" si="25"/>
        <v>68</v>
      </c>
      <c r="H101" s="493">
        <f t="shared" si="25"/>
        <v>60</v>
      </c>
      <c r="I101" s="493">
        <f t="shared" si="25"/>
        <v>52</v>
      </c>
      <c r="J101" s="493">
        <f t="shared" si="25"/>
        <v>44</v>
      </c>
      <c r="K101" s="493">
        <f t="shared" si="25"/>
        <v>36</v>
      </c>
      <c r="L101" s="493">
        <f t="shared" si="25"/>
        <v>28</v>
      </c>
      <c r="M101" s="493">
        <f t="shared" si="25"/>
        <v>20</v>
      </c>
      <c r="N101" s="934"/>
      <c r="O101" s="934"/>
      <c r="P101" s="1922"/>
      <c r="Q101" s="453"/>
    </row>
    <row r="102" spans="1:17" ht="15" thickTop="1">
      <c r="A102" s="483"/>
      <c r="B102" s="487" t="s">
        <v>1737</v>
      </c>
      <c r="C102" s="527" t="str">
        <f>C103&amp;"(含)"&amp;"-"&amp;D103</f>
        <v>0(含)-1500</v>
      </c>
      <c r="D102" s="527" t="str">
        <f t="shared" ref="D102:L102" si="26">D103&amp;"(含)"&amp;"-"&amp;E103</f>
        <v>1500(含)-3000</v>
      </c>
      <c r="E102" s="527" t="str">
        <f t="shared" si="26"/>
        <v>3000(含)-4500</v>
      </c>
      <c r="F102" s="527" t="str">
        <f t="shared" si="26"/>
        <v>4500(含)-6000</v>
      </c>
      <c r="G102" s="527" t="str">
        <f t="shared" si="26"/>
        <v>6000(含)-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1500</v>
      </c>
      <c r="E103" s="544">
        <v>3000</v>
      </c>
      <c r="F103" s="544">
        <v>4500</v>
      </c>
      <c r="G103" s="544">
        <v>6000</v>
      </c>
      <c r="H103" s="544"/>
      <c r="I103" s="544"/>
      <c r="J103" s="545"/>
      <c r="K103" s="545"/>
      <c r="L103" s="546"/>
      <c r="M103" s="547"/>
      <c r="N103" s="935"/>
      <c r="O103" s="935"/>
      <c r="P103" s="1923"/>
      <c r="Q103" s="508"/>
    </row>
    <row r="104" spans="1:17" s="422" customFormat="1" ht="14.4" thickBot="1">
      <c r="A104" s="502"/>
      <c r="B104" s="492"/>
      <c r="C104" s="509">
        <v>100</v>
      </c>
      <c r="D104" s="485">
        <v>96</v>
      </c>
      <c r="E104" s="485">
        <v>92</v>
      </c>
      <c r="F104" s="485">
        <v>88</v>
      </c>
      <c r="G104" s="485">
        <v>84</v>
      </c>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户数</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t="str">
        <f>B45</f>
        <v>建成年代</v>
      </c>
      <c r="C128" s="503">
        <f>C45</f>
        <v>1994</v>
      </c>
      <c r="D128" s="503">
        <f>E45</f>
        <v>2008</v>
      </c>
      <c r="E128" s="503">
        <f>G45</f>
        <v>2005</v>
      </c>
      <c r="F128" s="503">
        <f>I45</f>
        <v>2013</v>
      </c>
      <c r="G128" s="532"/>
      <c r="H128" s="532"/>
      <c r="I128" s="532"/>
      <c r="J128" s="532"/>
      <c r="K128" s="533"/>
      <c r="L128" s="534"/>
      <c r="M128" s="535"/>
      <c r="N128" s="933"/>
      <c r="O128" s="933"/>
      <c r="P128" s="1922"/>
      <c r="Q128" s="453"/>
    </row>
    <row r="129" spans="1:17" ht="14.4" thickBot="1">
      <c r="A129" s="483"/>
      <c r="B129" s="492"/>
      <c r="C129" s="509">
        <v>100</v>
      </c>
      <c r="D129" s="509">
        <v>107</v>
      </c>
      <c r="E129" s="509">
        <v>105.5</v>
      </c>
      <c r="F129" s="509">
        <v>109.5</v>
      </c>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76"/>
  <sheetViews>
    <sheetView topLeftCell="A40" workbookViewId="0">
      <selection activeCell="M63" sqref="M63"/>
    </sheetView>
  </sheetViews>
  <sheetFormatPr defaultRowHeight="14.4"/>
  <cols>
    <col min="1" max="1" width="12.33203125" customWidth="1"/>
  </cols>
  <sheetData>
    <row r="1" spans="1:14" ht="15.6">
      <c r="A1" s="3799" t="s">
        <v>3408</v>
      </c>
      <c r="B1" s="3797"/>
      <c r="C1" s="3798">
        <v>45689.333831018521</v>
      </c>
      <c r="D1" s="3798">
        <v>45658.333831018521</v>
      </c>
      <c r="E1" s="3798">
        <v>45627.333831018521</v>
      </c>
      <c r="F1" s="3798">
        <v>45597.333831018521</v>
      </c>
      <c r="G1" s="3798">
        <v>45566.333831018521</v>
      </c>
      <c r="H1" s="3798">
        <v>45536.333831018521</v>
      </c>
      <c r="I1" s="3798">
        <v>45505.333831018521</v>
      </c>
      <c r="J1" s="3798">
        <v>45474.333831018521</v>
      </c>
      <c r="K1" s="3798">
        <v>45444.333831018521</v>
      </c>
      <c r="L1" s="3798">
        <v>45413.333831018521</v>
      </c>
      <c r="M1" s="3798">
        <v>45383.333831018521</v>
      </c>
      <c r="N1" s="3798">
        <v>45352.333831018521</v>
      </c>
    </row>
    <row r="2" spans="1:14" ht="15.6">
      <c r="A2" s="3799"/>
      <c r="B2" s="3797"/>
      <c r="C2" s="3799" t="s">
        <v>3409</v>
      </c>
      <c r="D2" s="3799" t="s">
        <v>3409</v>
      </c>
      <c r="E2" s="3799" t="s">
        <v>3409</v>
      </c>
      <c r="F2" s="3799" t="s">
        <v>3409</v>
      </c>
      <c r="G2" s="3799" t="s">
        <v>3409</v>
      </c>
      <c r="H2" s="3799" t="s">
        <v>3409</v>
      </c>
      <c r="I2" s="3799" t="s">
        <v>3409</v>
      </c>
      <c r="J2" s="3799" t="s">
        <v>3409</v>
      </c>
      <c r="K2" s="3799" t="s">
        <v>3409</v>
      </c>
      <c r="L2" s="3799" t="s">
        <v>3409</v>
      </c>
      <c r="M2" s="3799" t="s">
        <v>3409</v>
      </c>
      <c r="N2" s="3799" t="s">
        <v>3409</v>
      </c>
    </row>
    <row r="3" spans="1:14" ht="15.6">
      <c r="A3" s="3797" t="s">
        <v>3411</v>
      </c>
      <c r="B3" s="3797">
        <f>ROUND(AVERAGE(C3:N3),1)</f>
        <v>101.6</v>
      </c>
      <c r="C3" s="3797">
        <v>99.36</v>
      </c>
      <c r="D3" s="3797">
        <v>96.6</v>
      </c>
      <c r="E3" s="3797">
        <v>93.31</v>
      </c>
      <c r="F3" s="3797">
        <v>97.87</v>
      </c>
      <c r="G3" s="3797">
        <v>98.62</v>
      </c>
      <c r="H3" s="3797">
        <v>99.43</v>
      </c>
      <c r="I3" s="3797">
        <v>101.12</v>
      </c>
      <c r="J3" s="3797">
        <v>100.37</v>
      </c>
      <c r="K3" s="3797">
        <v>103.05</v>
      </c>
      <c r="L3" s="3797">
        <v>102.1</v>
      </c>
      <c r="M3" s="3797">
        <v>112.21</v>
      </c>
      <c r="N3" s="3797">
        <v>115.35</v>
      </c>
    </row>
    <row r="4" spans="1:14" s="3800" customFormat="1" ht="15.6">
      <c r="A4" s="3801" t="s">
        <v>3412</v>
      </c>
      <c r="B4" s="3797">
        <f t="shared" ref="B4:B5" si="0">ROUND(AVERAGE(C4:N4),1)</f>
        <v>110.7</v>
      </c>
      <c r="C4" s="3800">
        <v>115.91</v>
      </c>
      <c r="D4" s="3800">
        <v>110.84</v>
      </c>
      <c r="E4" s="3800">
        <v>106.14</v>
      </c>
      <c r="F4" s="3800">
        <v>108.22</v>
      </c>
      <c r="G4" s="3800">
        <v>109.38</v>
      </c>
      <c r="H4" s="3800">
        <v>112.46</v>
      </c>
      <c r="I4" s="3800">
        <v>112.11</v>
      </c>
      <c r="J4" s="3800">
        <v>109.11</v>
      </c>
      <c r="K4" s="3800">
        <v>110.14</v>
      </c>
      <c r="L4" s="3800">
        <v>110.13</v>
      </c>
      <c r="M4" s="3800">
        <v>109.8</v>
      </c>
      <c r="N4" s="3800">
        <v>114.02</v>
      </c>
    </row>
    <row r="5" spans="1:14" s="3800" customFormat="1" ht="15.6">
      <c r="A5" s="3801" t="s">
        <v>3413</v>
      </c>
      <c r="B5" s="3797">
        <f t="shared" si="0"/>
        <v>100.2</v>
      </c>
      <c r="C5" s="3800">
        <v>115.16</v>
      </c>
      <c r="D5" s="3800">
        <v>106.98</v>
      </c>
      <c r="E5" s="3800">
        <v>84.19</v>
      </c>
      <c r="F5" s="3800">
        <v>83.69</v>
      </c>
      <c r="G5" s="3800">
        <v>90.56</v>
      </c>
      <c r="H5" s="3800">
        <v>94.92</v>
      </c>
      <c r="I5" s="3800">
        <v>90.97</v>
      </c>
      <c r="J5" s="3800">
        <v>97.91</v>
      </c>
      <c r="K5" s="3800">
        <v>98.03</v>
      </c>
      <c r="L5" s="3800">
        <v>103.86</v>
      </c>
      <c r="M5" s="3800">
        <v>115.47</v>
      </c>
      <c r="N5" s="3800">
        <v>120.42</v>
      </c>
    </row>
    <row r="9" spans="1:14">
      <c r="L9">
        <v>2.99</v>
      </c>
    </row>
    <row r="39" spans="12:12">
      <c r="L39">
        <v>1.37</v>
      </c>
    </row>
    <row r="76" spans="12:12">
      <c r="L76">
        <v>2.14</v>
      </c>
    </row>
  </sheetData>
  <mergeCells count="25">
    <mergeCell ref="H1"/>
    <mergeCell ref="I1"/>
    <mergeCell ref="J1"/>
    <mergeCell ref="K1"/>
    <mergeCell ref="A1:A2"/>
    <mergeCell ref="C1"/>
    <mergeCell ref="D1"/>
    <mergeCell ref="E1"/>
    <mergeCell ref="F1"/>
    <mergeCell ref="L1"/>
    <mergeCell ref="M1"/>
    <mergeCell ref="N1"/>
    <mergeCell ref="C2"/>
    <mergeCell ref="D2"/>
    <mergeCell ref="E2"/>
    <mergeCell ref="F2"/>
    <mergeCell ref="G2"/>
    <mergeCell ref="H2"/>
    <mergeCell ref="I2"/>
    <mergeCell ref="J2"/>
    <mergeCell ref="K2"/>
    <mergeCell ref="L2"/>
    <mergeCell ref="M2"/>
    <mergeCell ref="N2"/>
    <mergeCell ref="G1"/>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 thickBot="1">
      <c r="A7" s="362" t="s">
        <v>1679</v>
      </c>
      <c r="B7" s="363"/>
      <c r="C7" s="364">
        <f>'数据-取费表'!B2</f>
        <v>45736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 thickBot="1">
      <c r="A7" s="362" t="s">
        <v>1679</v>
      </c>
      <c r="B7" s="363"/>
      <c r="C7" s="364">
        <f>'数据-取费表'!B2</f>
        <v>45736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2025年3月20日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 thickBot="1">
      <c r="A7" s="362" t="s">
        <v>1679</v>
      </c>
      <c r="B7" s="363"/>
      <c r="C7" s="364">
        <f>'数据-取费表'!B2</f>
        <v>45736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 thickBot="1">
      <c r="A7" s="362" t="s">
        <v>1679</v>
      </c>
      <c r="B7" s="363"/>
      <c r="C7" s="364">
        <f>'数据-取费表'!B2</f>
        <v>45736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3"/>
      <c r="Q10" s="1343" t="str">
        <f t="shared" si="6"/>
        <v>土地使用年限（年）</v>
      </c>
      <c r="R10" s="701" t="s">
        <v>14</v>
      </c>
      <c r="S10" s="702" t="e">
        <f t="shared" si="0"/>
        <v>#DIV/0!</v>
      </c>
      <c r="T10" s="701" t="s">
        <v>14</v>
      </c>
      <c r="U10" s="702" t="e">
        <f t="shared" si="1"/>
        <v>#DIV/0!</v>
      </c>
      <c r="V10" s="701" t="s">
        <v>14</v>
      </c>
      <c r="W10" s="702" t="e">
        <f t="shared" si="2"/>
        <v>#DIV/0!</v>
      </c>
      <c r="X10" s="703"/>
      <c r="Y10" s="354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7" t="s">
        <v>3254</v>
      </c>
      <c r="B20" s="167" t="s">
        <v>1994</v>
      </c>
      <c r="C20" s="3325" t="e">
        <f>ROUND(IF(F21="与级别开发程度一致",0,(G21-E21)/C21),0)</f>
        <v>#DIV/0!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45736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2"/>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4.4">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24">
      <c r="A85" s="3118">
        <v>13</v>
      </c>
      <c r="B85" s="3768"/>
      <c r="C85" s="3092" t="s">
        <v>2676</v>
      </c>
      <c r="D85" s="3092" t="s">
        <v>2677</v>
      </c>
      <c r="E85" s="3118">
        <v>0.1</v>
      </c>
      <c r="F85" s="3118">
        <v>15</v>
      </c>
    </row>
    <row r="86" spans="1:6" ht="24">
      <c r="A86" s="3118">
        <v>14</v>
      </c>
      <c r="B86" s="3768"/>
      <c r="C86" s="3092" t="s">
        <v>2678</v>
      </c>
      <c r="D86" s="3092" t="s">
        <v>2679</v>
      </c>
      <c r="E86" s="3118">
        <v>0.1</v>
      </c>
      <c r="F86" s="3118">
        <v>15</v>
      </c>
    </row>
    <row r="87" spans="1:6" ht="24">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4.4">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4.4">
      <c r="A92" s="3118">
        <v>20</v>
      </c>
      <c r="B92" s="3768"/>
      <c r="C92" s="3092" t="s">
        <v>2691</v>
      </c>
      <c r="D92" s="3092" t="s">
        <v>2692</v>
      </c>
      <c r="E92" s="3118">
        <v>0.15</v>
      </c>
      <c r="F92" s="3118">
        <v>20</v>
      </c>
    </row>
    <row r="93" spans="1:6" ht="24">
      <c r="A93" s="3118">
        <v>21</v>
      </c>
      <c r="B93" s="3768"/>
      <c r="C93" s="3092" t="s">
        <v>2693</v>
      </c>
      <c r="D93" s="3092" t="s">
        <v>2694</v>
      </c>
      <c r="E93" s="3118">
        <v>0.15</v>
      </c>
      <c r="F93" s="3118">
        <v>20</v>
      </c>
    </row>
    <row r="94" spans="1:6" ht="24">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24">
      <c r="A96" s="3118">
        <v>24</v>
      </c>
      <c r="B96" s="3768"/>
      <c r="C96" s="3092" t="s">
        <v>2699</v>
      </c>
      <c r="D96" s="3092" t="s">
        <v>2700</v>
      </c>
      <c r="E96" s="3118">
        <v>0.1</v>
      </c>
      <c r="F96" s="3118">
        <v>15</v>
      </c>
    </row>
    <row r="97" spans="1:6" ht="24">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24">
      <c r="A100" s="3118">
        <v>28</v>
      </c>
      <c r="B100" s="3768"/>
      <c r="C100" s="3092" t="s">
        <v>2707</v>
      </c>
      <c r="D100" s="3092" t="s">
        <v>2708</v>
      </c>
      <c r="E100" s="3118">
        <v>0.1</v>
      </c>
      <c r="F100" s="3118">
        <v>15</v>
      </c>
    </row>
    <row r="101" spans="1:6" ht="24">
      <c r="A101" s="3118">
        <v>29</v>
      </c>
      <c r="B101" s="3768"/>
      <c r="C101" s="3092" t="s">
        <v>2709</v>
      </c>
      <c r="D101" s="3092" t="s">
        <v>2710</v>
      </c>
      <c r="E101" s="3118">
        <v>0.1</v>
      </c>
      <c r="F101" s="3118">
        <v>15</v>
      </c>
    </row>
    <row r="102" spans="1:6" ht="24">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36">
      <c r="A107" s="3118">
        <v>35</v>
      </c>
      <c r="B107" s="3766" t="s">
        <v>2721</v>
      </c>
      <c r="C107" s="3118" t="s">
        <v>2722</v>
      </c>
      <c r="D107" s="3092" t="s">
        <v>2723</v>
      </c>
      <c r="E107" s="3118">
        <v>0.15</v>
      </c>
      <c r="F107" s="3118">
        <v>20</v>
      </c>
    </row>
    <row r="108" spans="1:6" ht="24">
      <c r="A108" s="3118">
        <v>36</v>
      </c>
      <c r="B108" s="3768"/>
      <c r="C108" s="3118" t="s">
        <v>2724</v>
      </c>
      <c r="D108" s="3092" t="s">
        <v>2725</v>
      </c>
      <c r="E108" s="3118">
        <v>0.15</v>
      </c>
      <c r="F108" s="3118">
        <v>20</v>
      </c>
    </row>
    <row r="109" spans="1:6" ht="24">
      <c r="A109" s="3118">
        <v>37</v>
      </c>
      <c r="B109" s="3768"/>
      <c r="C109" s="3118" t="s">
        <v>2726</v>
      </c>
      <c r="D109" s="3092" t="s">
        <v>2727</v>
      </c>
      <c r="E109" s="3118">
        <v>0.15</v>
      </c>
      <c r="F109" s="3118">
        <v>20</v>
      </c>
    </row>
    <row r="110" spans="1:6" ht="24">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24">
      <c r="A113" s="3118">
        <v>41</v>
      </c>
      <c r="B113" s="3765" t="s">
        <v>2734</v>
      </c>
      <c r="C113" s="3118" t="s">
        <v>2735</v>
      </c>
      <c r="D113" s="3092" t="s">
        <v>2736</v>
      </c>
      <c r="E113" s="3118">
        <v>0.1</v>
      </c>
      <c r="F113" s="3118">
        <v>15</v>
      </c>
    </row>
    <row r="114" spans="1:6" ht="24">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24">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24">
      <c r="A120" s="3118">
        <v>48</v>
      </c>
      <c r="B120" s="3766" t="s">
        <v>2751</v>
      </c>
      <c r="C120" s="3118" t="s">
        <v>2752</v>
      </c>
      <c r="D120" s="3092" t="s">
        <v>2753</v>
      </c>
      <c r="E120" s="3118">
        <v>0.1</v>
      </c>
      <c r="F120" s="3118">
        <v>15</v>
      </c>
    </row>
    <row r="121" spans="1:6" ht="24">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65" t="s">
        <v>2769</v>
      </c>
      <c r="C127" s="3118" t="s">
        <v>2770</v>
      </c>
      <c r="D127" s="3092" t="s">
        <v>2771</v>
      </c>
      <c r="E127" s="3118">
        <v>0.1</v>
      </c>
      <c r="F127" s="3118">
        <v>15</v>
      </c>
    </row>
    <row r="128" spans="1:6" ht="24">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24">
      <c r="A131" s="3118">
        <v>59</v>
      </c>
      <c r="B131" s="3765"/>
      <c r="C131" s="3118" t="s">
        <v>2779</v>
      </c>
      <c r="D131" s="3092" t="s">
        <v>2780</v>
      </c>
      <c r="E131" s="3118">
        <v>0.1</v>
      </c>
      <c r="F131" s="3118">
        <v>15</v>
      </c>
    </row>
    <row r="132" spans="1:6" ht="24">
      <c r="A132" s="3118">
        <v>60</v>
      </c>
      <c r="B132" s="3766" t="s">
        <v>2781</v>
      </c>
      <c r="C132" s="3118" t="s">
        <v>2782</v>
      </c>
      <c r="D132" s="3092" t="s">
        <v>2783</v>
      </c>
      <c r="E132" s="3118">
        <v>0.1</v>
      </c>
      <c r="F132" s="3118">
        <v>15</v>
      </c>
    </row>
    <row r="133" spans="1:6" ht="24">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65" t="s">
        <v>2789</v>
      </c>
      <c r="C135" s="3118" t="s">
        <v>2790</v>
      </c>
      <c r="D135" s="3092" t="s">
        <v>2791</v>
      </c>
      <c r="E135" s="3118">
        <v>0.1</v>
      </c>
      <c r="F135" s="3118">
        <v>15</v>
      </c>
    </row>
    <row r="136" spans="1:6" ht="24">
      <c r="A136" s="3118">
        <v>64</v>
      </c>
      <c r="B136" s="3765"/>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7.399999999999999">
      <c r="A3" s="3464" t="str">
        <f>IF(项目基本情况!B9="房地产市场价值","估价结果一览表（市场价值不需“结果表-1”）","估价结果一览表")</f>
        <v>估价结果一览表（市场价值不需“结果表-1”）</v>
      </c>
      <c r="B3" s="3464"/>
      <c r="C3" s="3464"/>
      <c r="D3" s="3464"/>
      <c r="E3" s="3464"/>
    </row>
    <row r="4" spans="1:5" ht="18" thickBot="1">
      <c r="A4" s="1493"/>
      <c r="B4" s="3462" t="s">
        <v>917</v>
      </c>
      <c r="C4" s="3462"/>
      <c r="D4" s="3462"/>
      <c r="E4" s="1493"/>
    </row>
    <row r="5" spans="1:5" ht="16.2" thickTop="1">
      <c r="A5" s="1491"/>
      <c r="B5" s="3460" t="s">
        <v>909</v>
      </c>
      <c r="C5" s="1494" t="s">
        <v>910</v>
      </c>
      <c r="D5" s="850" t="e">
        <f ca="1">结果表!H101</f>
        <v>#REF!</v>
      </c>
      <c r="E5" s="1491"/>
    </row>
    <row r="6" spans="1:5" ht="15.6">
      <c r="A6" s="1491"/>
      <c r="B6" s="3460"/>
      <c r="C6" s="1494" t="s">
        <v>911</v>
      </c>
      <c r="D6" s="850" t="e">
        <f ca="1">NUMBERSTRING(INT(D5*10000),2)&amp;"元整"</f>
        <v>#REF!</v>
      </c>
      <c r="E6" s="1491"/>
    </row>
    <row r="7" spans="1:5" ht="15.6">
      <c r="A7" s="1491"/>
      <c r="B7" s="3465"/>
      <c r="C7" s="1495" t="s">
        <v>912</v>
      </c>
      <c r="D7" s="851" t="e">
        <f ca="1">结果表!H102</f>
        <v>#REF!</v>
      </c>
      <c r="E7" s="1491"/>
    </row>
    <row r="8" spans="1:5" ht="15.6">
      <c r="A8" s="1491"/>
      <c r="B8" s="3466" t="str">
        <f>结果表!E103</f>
        <v>2.估价师知悉的法定优先受偿款</v>
      </c>
      <c r="C8" s="1496" t="s">
        <v>913</v>
      </c>
      <c r="D8" s="851">
        <f>结果表!H103</f>
        <v>0</v>
      </c>
      <c r="E8" s="1491"/>
    </row>
    <row r="9" spans="1:5" ht="15.6">
      <c r="A9" s="1491"/>
      <c r="B9" s="346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9" t="str">
        <f>结果表!E107</f>
        <v>3.房地产抵押价值</v>
      </c>
      <c r="C13" s="1499" t="s">
        <v>910</v>
      </c>
      <c r="D13" s="853" t="e">
        <f ca="1">结果表!H107</f>
        <v>#REF!</v>
      </c>
      <c r="E13" s="1491"/>
    </row>
    <row r="14" spans="1:5" ht="15.6">
      <c r="A14" s="1491"/>
      <c r="B14" s="3460"/>
      <c r="C14" s="1494" t="s">
        <v>911</v>
      </c>
      <c r="D14" s="850" t="e">
        <f ca="1">NUMBERSTRING(INT(D13*10000),2)&amp;"元整"</f>
        <v>#REF!</v>
      </c>
      <c r="E14" s="1491"/>
    </row>
    <row r="15" spans="1:5" ht="15.6">
      <c r="A15" s="1491"/>
      <c r="B15" s="3465"/>
      <c r="C15" s="1495" t="s">
        <v>921</v>
      </c>
      <c r="D15" s="859" t="e">
        <f ca="1">结果表!H108</f>
        <v>#REF!</v>
      </c>
      <c r="E15" s="1491"/>
    </row>
    <row r="16" spans="1:5" ht="15.6">
      <c r="A16" s="1491"/>
      <c r="B16" s="3466" t="str">
        <f>结果表!E109</f>
        <v>——</v>
      </c>
      <c r="C16" s="1499" t="s">
        <v>922</v>
      </c>
      <c r="D16" s="1500" t="str">
        <f>结果表!H109</f>
        <v>——</v>
      </c>
      <c r="E16" s="1491"/>
    </row>
    <row r="17" spans="1:5" ht="15.6">
      <c r="A17" s="1491"/>
      <c r="B17" s="3467"/>
      <c r="C17" s="1494" t="s">
        <v>923</v>
      </c>
      <c r="D17" s="850" t="e">
        <f>NUMBERSTRING(INT(D16*10000),2)&amp;"元整"</f>
        <v>#VALUE!</v>
      </c>
      <c r="E17" s="1491"/>
    </row>
    <row r="18" spans="1:5" ht="15.6">
      <c r="A18" s="1491"/>
      <c r="B18" s="3468"/>
      <c r="C18" s="1495" t="s">
        <v>912</v>
      </c>
      <c r="D18" s="859" t="str">
        <f>结果表!H110</f>
        <v>——</v>
      </c>
      <c r="E18" s="1491"/>
    </row>
    <row r="19" spans="1:5" ht="15.6">
      <c r="A19" s="1491"/>
      <c r="B19" s="3459" t="str">
        <f>结果表!E111</f>
        <v>——</v>
      </c>
      <c r="C19" s="1499" t="s">
        <v>910</v>
      </c>
      <c r="D19" s="851" t="str">
        <f>结果表!H111</f>
        <v>——</v>
      </c>
      <c r="E19" s="1491"/>
    </row>
    <row r="20" spans="1:5" ht="15.6">
      <c r="A20" s="1491"/>
      <c r="B20" s="3460"/>
      <c r="C20" s="1494" t="s">
        <v>923</v>
      </c>
      <c r="D20" s="850" t="e">
        <f>NUMBERSTRING(INT(D19*10000),2)&amp;"元整"</f>
        <v>#VALUE!</v>
      </c>
      <c r="E20" s="1491"/>
    </row>
    <row r="21" spans="1:5" ht="16.2" thickBot="1">
      <c r="A21" s="1491"/>
      <c r="B21" s="346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41" t="s">
        <v>94</v>
      </c>
    </row>
    <row r="43" spans="1:7" ht="13.5" customHeight="1">
      <c r="A43" s="780" t="s">
        <v>347</v>
      </c>
      <c r="B43" s="215" t="s">
        <v>426</v>
      </c>
      <c r="C43" s="238" t="e">
        <f ca="1">ROUND(IF('数据-取费表'!B22&lt;=1,C39*F22*'数据-取费表'!B21/2,C39*(POWER((1+F22),'数据-取费表'!B21/2)-1)),0)</f>
        <v>#VALUE!</v>
      </c>
      <c r="D43" s="238"/>
      <c r="E43" s="238"/>
      <c r="F43" s="239"/>
      <c r="G43" s="3642"/>
    </row>
    <row r="44" spans="1:7" ht="13.5" customHeight="1">
      <c r="A44" s="780" t="s">
        <v>348</v>
      </c>
      <c r="B44" s="215" t="s">
        <v>428</v>
      </c>
      <c r="C44" s="238" t="e">
        <f ca="1">ROUND(IF('数据-取费表'!B22&lt;=1,C40*F22*'数据-取费表'!B21/2,C40*(POWER((1+F22),'数据-取费表'!B21/2)-1)),4)</f>
        <v>#VALUE!</v>
      </c>
      <c r="D44" s="238"/>
      <c r="E44" s="238"/>
      <c r="F44" s="239"/>
      <c r="G44" s="364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8"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1" t="s">
        <v>3181</v>
      </c>
      <c r="B1" s="3781"/>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45736</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3383</v>
      </c>
    </row>
    <row r="24" spans="1:30" s="3009" customFormat="1">
      <c r="I24" s="3208" t="s">
        <v>2825</v>
      </c>
    </row>
    <row r="25" spans="1:30" s="3009" customFormat="1"/>
    <row r="26" spans="1:30" s="3209" customFormat="1" ht="13.2">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3.2">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45736</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6">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6">
      <c r="A6" s="3471" t="str">
        <f>结果表!A120</f>
        <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6">
      <c r="A8" s="3471" t="str">
        <f>结果表!A122</f>
        <v/>
      </c>
      <c r="B8" s="3471"/>
      <c r="C8" s="3471"/>
      <c r="D8" s="3471" t="e">
        <f ca="1">结果表!D122</f>
        <v>#REF!</v>
      </c>
      <c r="E8" s="3471"/>
      <c r="F8" s="3471"/>
      <c r="G8" s="3471"/>
      <c r="H8" s="3471"/>
      <c r="I8" s="3471"/>
    </row>
    <row r="9" spans="1:9" ht="15">
      <c r="A9" s="3472" t="s">
        <v>927</v>
      </c>
      <c r="B9" s="3472"/>
      <c r="C9" s="3472"/>
      <c r="D9" s="3472" t="e">
        <f ca="1">结果表!D123</f>
        <v>#REF!</v>
      </c>
      <c r="E9" s="3472"/>
      <c r="F9" s="3472"/>
      <c r="G9" s="3472"/>
      <c r="H9" s="3472"/>
      <c r="I9" s="3472"/>
    </row>
    <row r="10" spans="1:9" ht="15.6">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6">
      <c r="A12" s="3471" t="str">
        <f>结果表!A126</f>
        <v/>
      </c>
      <c r="B12" s="3471"/>
      <c r="C12" s="3471"/>
      <c r="D12" s="3471" t="str">
        <f>结果表!D126</f>
        <v>——</v>
      </c>
      <c r="E12" s="3471"/>
      <c r="F12" s="3471"/>
      <c r="G12" s="3471"/>
      <c r="H12" s="3471"/>
      <c r="I12" s="3471"/>
    </row>
    <row r="13" spans="1:9" ht="15.6" thickBot="1">
      <c r="A13" s="3469" t="s">
        <v>927</v>
      </c>
      <c r="B13" s="3469"/>
      <c r="C13" s="3469"/>
      <c r="D13" s="3469" t="e">
        <f>结果表!D127</f>
        <v>#VALUE!</v>
      </c>
      <c r="E13" s="3469"/>
      <c r="F13" s="3469"/>
      <c r="G13" s="3469"/>
      <c r="H13" s="3469"/>
      <c r="I13" s="3469"/>
    </row>
    <row r="14" spans="1:9" ht="14.4" thickTop="1">
      <c r="A14" s="3470" t="s">
        <v>932</v>
      </c>
      <c r="B14" s="3470"/>
      <c r="C14" s="3470"/>
      <c r="D14" s="3470"/>
      <c r="E14" s="3470"/>
      <c r="F14" s="3470"/>
      <c r="G14" s="3470"/>
      <c r="H14" s="3470"/>
      <c r="I14" s="347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4" t="s">
        <v>949</v>
      </c>
      <c r="B1" s="3484"/>
      <c r="C1" s="3484"/>
      <c r="D1" s="3484"/>
    </row>
    <row r="2" spans="1:4" ht="17.399999999999999">
      <c r="A2" s="3485" t="s">
        <v>933</v>
      </c>
      <c r="B2" s="3485"/>
      <c r="C2" s="3485"/>
      <c r="D2" s="348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5" t="s">
        <v>939</v>
      </c>
      <c r="B6" s="3485"/>
      <c r="C6" s="3485"/>
      <c r="D6" s="348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6" t="s">
        <v>942</v>
      </c>
      <c r="B11" s="3478"/>
      <c r="C11" s="3478"/>
      <c r="D11" s="3478"/>
    </row>
    <row r="12" spans="1:4" ht="15.6">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78" t="str">
        <f>IF(项目基本情况!B8="抵押","3.抵押双方在办理抵押登记手续时，应使用本公司出具的正式《房地产评估报告》，特提醒报告使用者注意。","——")</f>
        <v>——</v>
      </c>
      <c r="B13" s="3483"/>
      <c r="C13" s="3483"/>
      <c r="D13" s="3483"/>
    </row>
    <row r="14" spans="1:4" ht="15.75" customHeight="1">
      <c r="A14" s="3478" t="str">
        <f>IF(项目基本情况!B8="抵押","4.本次评估估价师所知悉的法定优先受偿款情况说明如下：","——")</f>
        <v>——</v>
      </c>
      <c r="B14" s="3483"/>
      <c r="C14" s="3483"/>
      <c r="D14" s="3483"/>
    </row>
    <row r="15" spans="1:4" ht="42" customHeight="1">
      <c r="A15" s="3478" t="str">
        <f>IF(项目基本情况!B8="抵押","（1）"&amp;CONCATENATE(项目基本情况!L20,项目基本情况!L21,项目基本情况!L22),"——")</f>
        <v>——</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2" t="s">
        <v>956</v>
      </c>
      <c r="B15" s="3487" t="s">
        <v>109</v>
      </c>
      <c r="C15" s="3488"/>
    </row>
    <row r="16" spans="1:7" ht="14.4">
      <c r="A16" s="3493"/>
      <c r="B16" s="3487" t="s">
        <v>42</v>
      </c>
      <c r="C16" s="3488"/>
    </row>
    <row r="17" spans="1:3" ht="14.4">
      <c r="A17" s="3493"/>
      <c r="B17" s="3490" t="s">
        <v>957</v>
      </c>
      <c r="C17" s="1532" t="s">
        <v>956</v>
      </c>
    </row>
    <row r="18" spans="1:3" ht="14.4">
      <c r="A18" s="3493"/>
      <c r="B18" s="3490"/>
      <c r="C18" s="1532" t="s">
        <v>958</v>
      </c>
    </row>
    <row r="19" spans="1:3" ht="14.4">
      <c r="A19" s="3493"/>
      <c r="B19" s="3490"/>
      <c r="C19" s="1532" t="s">
        <v>959</v>
      </c>
    </row>
    <row r="20" spans="1:3" ht="14.4">
      <c r="A20" s="3494"/>
      <c r="B20" s="3489" t="s">
        <v>960</v>
      </c>
      <c r="C20" s="3488"/>
    </row>
    <row r="21" spans="1:3" ht="14.4">
      <c r="A21" s="1533" t="s">
        <v>961</v>
      </c>
      <c r="B21" s="1534"/>
      <c r="C21" s="1535"/>
    </row>
    <row r="22" spans="1:3" ht="14.4">
      <c r="A22" s="3491" t="s">
        <v>962</v>
      </c>
      <c r="B22" s="3489" t="s">
        <v>963</v>
      </c>
      <c r="C22" s="3488"/>
    </row>
    <row r="23" spans="1:3" ht="14.4">
      <c r="A23" s="3491"/>
      <c r="B23" s="3489" t="s">
        <v>964</v>
      </c>
      <c r="C23" s="3488"/>
    </row>
    <row r="24" spans="1:3" ht="14.4">
      <c r="A24" s="3491"/>
      <c r="B24" s="3489" t="s">
        <v>965</v>
      </c>
      <c r="C24" s="3488"/>
    </row>
    <row r="25" spans="1:3" ht="14.4">
      <c r="A25" s="3491"/>
      <c r="B25" s="3490" t="s">
        <v>966</v>
      </c>
      <c r="C25" s="1532" t="s">
        <v>967</v>
      </c>
    </row>
    <row r="26" spans="1:3" ht="14.4">
      <c r="A26" s="3491"/>
      <c r="B26" s="3490"/>
      <c r="C26" s="1532" t="s">
        <v>968</v>
      </c>
    </row>
    <row r="27" spans="1:3" ht="14.4">
      <c r="A27" s="3491"/>
      <c r="B27" s="3490"/>
      <c r="C27" s="1532" t="s">
        <v>969</v>
      </c>
    </row>
    <row r="28" spans="1:3" ht="14.4">
      <c r="A28" s="3491"/>
      <c r="B28" s="3490"/>
      <c r="C28" s="1532" t="s">
        <v>970</v>
      </c>
    </row>
    <row r="29" spans="1:3" ht="14.4">
      <c r="A29" s="3491"/>
      <c r="B29" s="3490"/>
      <c r="C29" s="1532" t="s">
        <v>971</v>
      </c>
    </row>
    <row r="30" spans="1:3" ht="14.4">
      <c r="A30" s="3491"/>
      <c r="B30" s="3490"/>
      <c r="C30" s="1532" t="s">
        <v>972</v>
      </c>
    </row>
    <row r="31" spans="1:3" ht="14.4">
      <c r="A31" s="3491"/>
      <c r="B31" s="3490"/>
      <c r="C31" s="1532" t="s">
        <v>973</v>
      </c>
    </row>
    <row r="32" spans="1:3" ht="14.4">
      <c r="A32" s="3491"/>
      <c r="B32" s="3490"/>
      <c r="C32" s="1532" t="s">
        <v>974</v>
      </c>
    </row>
    <row r="33" spans="1:3" ht="14.4">
      <c r="A33" s="3491"/>
      <c r="B33" s="349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45736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2025-03-20T08:51:12Z</dcterms:modified>
</cp:coreProperties>
</file>