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不动产权证登记信息" sheetId="68"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收益法" sheetId="15"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9" r:id="rId42"/>
  </sheet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14" i="9" l="1"/>
  <c r="I48" i="39" l="1"/>
  <c r="G48" i="39"/>
  <c r="E48" i="39"/>
  <c r="E119" i="39"/>
  <c r="F119" i="39" s="1"/>
  <c r="G119" i="39" s="1"/>
  <c r="H119" i="39" s="1"/>
  <c r="I119" i="39" s="1"/>
  <c r="J119" i="39" s="1"/>
  <c r="K119" i="39" s="1"/>
  <c r="L119" i="39" s="1"/>
  <c r="M119" i="39" s="1"/>
  <c r="D119" i="39"/>
  <c r="I40" i="39"/>
  <c r="G40" i="39"/>
  <c r="E40" i="39"/>
  <c r="C40" i="39"/>
  <c r="E73" i="39"/>
  <c r="F73" i="39" s="1"/>
  <c r="G73" i="39" s="1"/>
  <c r="H73" i="39" s="1"/>
  <c r="I73" i="39" s="1"/>
  <c r="J73" i="39" s="1"/>
  <c r="K73" i="39" s="1"/>
  <c r="L73" i="39" s="1"/>
  <c r="M73" i="39" s="1"/>
  <c r="N73" i="39" s="1"/>
  <c r="D73" i="39"/>
  <c r="E82" i="39"/>
  <c r="F82" i="39" s="1"/>
  <c r="G82" i="39" s="1"/>
  <c r="H82" i="39" s="1"/>
  <c r="I82" i="39" s="1"/>
  <c r="J82" i="39" s="1"/>
  <c r="K82" i="39" s="1"/>
  <c r="D82" i="39"/>
  <c r="C13" i="39"/>
  <c r="I9" i="39"/>
  <c r="G9" i="39"/>
  <c r="E9" i="39"/>
  <c r="I7" i="39"/>
  <c r="G7" i="39"/>
  <c r="E7" i="39"/>
  <c r="V20" i="1" l="1"/>
  <c r="I13" i="3"/>
  <c r="F19" i="6"/>
  <c r="A3" i="3" l="1"/>
  <c r="D3" i="4" l="1"/>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Q74" i="44"/>
  <c r="Q61" i="44"/>
  <c r="Q60" i="44"/>
  <c r="Q53" i="44"/>
  <c r="J51" i="44"/>
  <c r="J52" i="44"/>
  <c r="M48" i="44"/>
  <c r="A16" i="55"/>
  <c r="A15" i="55"/>
  <c r="A14" i="55"/>
  <c r="A11" i="55"/>
  <c r="A10" i="55"/>
  <c r="A9" i="55"/>
  <c r="B60" i="63" s="1"/>
  <c r="A8" i="55"/>
  <c r="A6" i="54"/>
  <c r="B49" i="63" s="1"/>
  <c r="A8" i="54"/>
  <c r="A7" i="54"/>
  <c r="A28" i="51"/>
  <c r="B21" i="63" s="1"/>
  <c r="A27" i="51"/>
  <c r="B20" i="63" s="1"/>
  <c r="Q12" i="59"/>
  <c r="AB10" i="59"/>
  <c r="O12" i="59"/>
  <c r="Y10" i="59"/>
  <c r="Z10" i="59"/>
  <c r="N13" i="59"/>
  <c r="O13" i="59"/>
  <c r="P13" i="59"/>
  <c r="Q13" i="59"/>
  <c r="N12" i="59"/>
  <c r="X10" i="59"/>
  <c r="P12" i="59"/>
  <c r="AA10" i="59"/>
  <c r="B14" i="59"/>
  <c r="C14" i="59"/>
  <c r="D14" i="59"/>
  <c r="E14" i="59"/>
  <c r="F14" i="59"/>
  <c r="K75" i="9"/>
  <c r="K6" i="4"/>
  <c r="O76" i="9" s="1"/>
  <c r="B22" i="31"/>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C57" i="10"/>
  <c r="C56" i="10"/>
  <c r="C55" i="10"/>
  <c r="C54" i="10"/>
  <c r="B44" i="63"/>
  <c r="B40" i="63"/>
  <c r="B30" i="63"/>
  <c r="B27" i="63"/>
  <c r="B25" i="63"/>
  <c r="A11" i="51"/>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61" i="63"/>
  <c r="B59" i="63"/>
  <c r="B10" i="63"/>
  <c r="B51" i="10"/>
  <c r="B17" i="63"/>
  <c r="A15" i="51"/>
  <c r="B12" i="63" s="1"/>
  <c r="A14" i="51"/>
  <c r="B11" i="63" s="1"/>
  <c r="B66" i="63"/>
  <c r="A4" i="55"/>
  <c r="B57" i="63"/>
  <c r="B41" i="63"/>
  <c r="G5" i="54"/>
  <c r="B34" i="63" s="1"/>
  <c r="E5" i="54"/>
  <c r="B32" i="63"/>
  <c r="R2" i="54"/>
  <c r="B24" i="63"/>
  <c r="B19" i="63"/>
  <c r="B49" i="50"/>
  <c r="B5" i="63"/>
  <c r="B40" i="50"/>
  <c r="B3" i="63" s="1"/>
  <c r="N4"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s="1"/>
  <c r="F40" i="39"/>
  <c r="AA40" i="39" s="1"/>
  <c r="F42" i="39"/>
  <c r="AA42" i="39" s="1"/>
  <c r="H10" i="39"/>
  <c r="AB10" i="39" s="1"/>
  <c r="H11" i="39"/>
  <c r="AB11" i="39"/>
  <c r="H36" i="39"/>
  <c r="AB36" i="39"/>
  <c r="H40" i="39"/>
  <c r="AB40" i="39" s="1"/>
  <c r="H42" i="39"/>
  <c r="AB42" i="39" s="1"/>
  <c r="J10" i="39"/>
  <c r="AC10" i="39" s="1"/>
  <c r="J11" i="39"/>
  <c r="AC11" i="39"/>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s="1"/>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33" i="39"/>
  <c r="H33" i="39"/>
  <c r="U33" i="39" s="1"/>
  <c r="J33" i="39"/>
  <c r="AC33" i="39" s="1"/>
  <c r="F44" i="39"/>
  <c r="S44" i="39" s="1"/>
  <c r="H44" i="39"/>
  <c r="U44" i="39" s="1"/>
  <c r="J44" i="39"/>
  <c r="W44" i="39" s="1"/>
  <c r="E128" i="39"/>
  <c r="F128" i="39"/>
  <c r="G128" i="39"/>
  <c r="H128" i="39"/>
  <c r="I128" i="39"/>
  <c r="J128" i="39"/>
  <c r="K128" i="39"/>
  <c r="L128" i="39"/>
  <c r="M128" i="39"/>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F97" i="39"/>
  <c r="F23" i="39" s="1"/>
  <c r="AA23" i="39" s="1"/>
  <c r="S16" i="39"/>
  <c r="S15" i="34"/>
  <c r="AA15" i="34"/>
  <c r="AA41" i="33"/>
  <c r="AA34" i="33"/>
  <c r="F106" i="33"/>
  <c r="G106" i="33"/>
  <c r="H106" i="33"/>
  <c r="I106" i="33"/>
  <c r="J106" i="33"/>
  <c r="K106" i="33"/>
  <c r="L106" i="33"/>
  <c r="M106" i="33"/>
  <c r="J34" i="33"/>
  <c r="AC34" i="33"/>
  <c r="U30" i="40"/>
  <c r="AA37" i="39"/>
  <c r="W29" i="35"/>
  <c r="AC39" i="39"/>
  <c r="W39" i="39"/>
  <c r="AA39" i="39"/>
  <c r="U34"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C38" i="39"/>
  <c r="S29" i="39"/>
  <c r="AB15" i="39"/>
  <c r="U11" i="39"/>
  <c r="U41" i="39"/>
  <c r="U31" i="39"/>
  <c r="AB31" i="39"/>
  <c r="S38" i="39"/>
  <c r="S22" i="31"/>
  <c r="M20" i="15"/>
  <c r="D96" i="9"/>
  <c r="M18" i="15"/>
  <c r="A18" i="64"/>
  <c r="B74" i="63"/>
  <c r="C53" i="10"/>
  <c r="A25" i="64" s="1"/>
  <c r="A18" i="51"/>
  <c r="B14" i="63"/>
  <c r="BA16" i="3"/>
  <c r="BA17" i="3"/>
  <c r="AZ17" i="3"/>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s="1"/>
  <c r="C46" i="36"/>
  <c r="C59" i="34"/>
  <c r="C48" i="35"/>
  <c r="D48" i="35" s="1"/>
  <c r="C52" i="37"/>
  <c r="D52" i="37" s="1"/>
  <c r="J7" i="33"/>
  <c r="AC7" i="33" s="1"/>
  <c r="V48" i="33" s="1"/>
  <c r="I48" i="33" s="1"/>
  <c r="I52" i="33" s="1"/>
  <c r="J52" i="33" s="1"/>
  <c r="D65" i="40"/>
  <c r="E65" i="40" s="1"/>
  <c r="E67" i="40" s="1"/>
  <c r="C72" i="39"/>
  <c r="O19" i="46"/>
  <c r="H86" i="46"/>
  <c r="H82" i="46"/>
  <c r="H10" i="48"/>
  <c r="H87" i="46"/>
  <c r="H85" i="46"/>
  <c r="H83" i="46"/>
  <c r="K10" i="1"/>
  <c r="M10" i="1" s="1"/>
  <c r="O10" i="1" s="1"/>
  <c r="P10" i="1" s="1"/>
  <c r="S11" i="1"/>
  <c r="R11" i="1"/>
  <c r="S13" i="1"/>
  <c r="R13" i="1"/>
  <c r="B6" i="1"/>
  <c r="E6" i="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B33" i="39"/>
  <c r="AC46" i="39"/>
  <c r="W42" i="39"/>
  <c r="W36" i="39"/>
  <c r="AC37" i="39"/>
  <c r="W16"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H16" i="1"/>
  <c r="A9" i="64"/>
  <c r="A9" i="51"/>
  <c r="B9" i="63" s="1"/>
  <c r="A3" i="55"/>
  <c r="B56" i="63"/>
  <c r="D72" i="39"/>
  <c r="W7" i="33"/>
  <c r="G66" i="36"/>
  <c r="J18" i="36"/>
  <c r="AE8" i="1"/>
  <c r="AE7" i="1"/>
  <c r="W18" i="36"/>
  <c r="AC18" i="36"/>
  <c r="AG6" i="1"/>
  <c r="L20" i="6"/>
  <c r="L19" i="6"/>
  <c r="L27" i="6" s="1"/>
  <c r="F7" i="21"/>
  <c r="AA7" i="21" s="1"/>
  <c r="R48" i="21" s="1"/>
  <c r="J7" i="21"/>
  <c r="AC7" i="21" s="1"/>
  <c r="V48" i="21" s="1"/>
  <c r="I48" i="21" s="1"/>
  <c r="H7" i="21"/>
  <c r="AB7" i="21" s="1"/>
  <c r="T48" i="21" s="1"/>
  <c r="G48" i="21" s="1"/>
  <c r="F65" i="40"/>
  <c r="F67" i="40" s="1"/>
  <c r="E72" i="39"/>
  <c r="F70" i="39"/>
  <c r="F72" i="39" s="1"/>
  <c r="S7" i="1"/>
  <c r="S8" i="1"/>
  <c r="S9" i="1"/>
  <c r="S7" i="21"/>
  <c r="G70" i="39"/>
  <c r="H70" i="39" s="1"/>
  <c r="G72" i="39"/>
  <c r="R9" i="1"/>
  <c r="R7" i="1"/>
  <c r="R8" i="1"/>
  <c r="C45" i="9"/>
  <c r="H14" i="66" s="1"/>
  <c r="B7" i="66" s="1"/>
  <c r="O40" i="9"/>
  <c r="K31" i="9"/>
  <c r="K32" i="9" s="1"/>
  <c r="R7" i="54"/>
  <c r="B52" i="63" s="1"/>
  <c r="C46" i="9"/>
  <c r="K33" i="9"/>
  <c r="K34" i="9" s="1"/>
  <c r="O41" i="9"/>
  <c r="I14" i="66"/>
  <c r="B8" i="66" s="1"/>
  <c r="R8" i="54"/>
  <c r="B54" i="63" s="1"/>
  <c r="M24" i="44"/>
  <c r="F13" i="67"/>
  <c r="E14" i="67"/>
  <c r="J17" i="44"/>
  <c r="M25" i="44"/>
  <c r="F37" i="44"/>
  <c r="N4" i="65"/>
  <c r="F45" i="44"/>
  <c r="M29" i="15"/>
  <c r="F9" i="44"/>
  <c r="M31" i="44"/>
  <c r="B12" i="67"/>
  <c r="F38" i="15"/>
  <c r="F26" i="15"/>
  <c r="J15" i="15"/>
  <c r="M21" i="15"/>
  <c r="M22" i="15"/>
  <c r="M9" i="15"/>
  <c r="F35" i="15"/>
  <c r="F11" i="44"/>
  <c r="C19" i="44"/>
  <c r="F46" i="44"/>
  <c r="F18" i="44"/>
  <c r="M24" i="15"/>
  <c r="F11" i="67"/>
  <c r="F8" i="15"/>
  <c r="E12" i="67"/>
  <c r="F9" i="67"/>
  <c r="B11" i="67"/>
  <c r="B10" i="67"/>
  <c r="F38" i="44"/>
  <c r="N6" i="65"/>
  <c r="F7" i="15"/>
  <c r="F12" i="67"/>
  <c r="F6" i="15"/>
  <c r="M26" i="15"/>
  <c r="F43" i="15"/>
  <c r="M23" i="15"/>
  <c r="B9" i="67"/>
  <c r="F40" i="15"/>
  <c r="F42" i="15"/>
  <c r="F39" i="44"/>
  <c r="L48" i="44"/>
  <c r="E9" i="67"/>
  <c r="M30" i="44"/>
  <c r="M10" i="44"/>
  <c r="M27" i="15"/>
  <c r="F9" i="15"/>
  <c r="M26" i="44"/>
  <c r="F16" i="15"/>
  <c r="E10" i="67"/>
  <c r="F37" i="15"/>
  <c r="E11" i="67"/>
  <c r="F15" i="44"/>
  <c r="N5" i="65"/>
  <c r="F8" i="44"/>
  <c r="L47" i="15"/>
  <c r="E13" i="67"/>
  <c r="M11" i="44"/>
  <c r="M28" i="15"/>
  <c r="F10" i="67"/>
  <c r="J36" i="15"/>
  <c r="M6" i="15"/>
  <c r="M28" i="44"/>
  <c r="F36" i="15"/>
  <c r="F43" i="44"/>
  <c r="F8" i="67"/>
  <c r="M29" i="44"/>
  <c r="N3" i="65"/>
  <c r="L49" i="44"/>
  <c r="M8" i="44"/>
  <c r="N7" i="65"/>
  <c r="B14" i="67"/>
  <c r="B8" i="67"/>
  <c r="F10" i="44"/>
  <c r="B13" i="67"/>
  <c r="M23" i="44"/>
  <c r="L48" i="15"/>
  <c r="E8" i="67"/>
  <c r="F28" i="44"/>
  <c r="F13" i="15"/>
  <c r="F40" i="44"/>
  <c r="F14" i="67"/>
  <c r="M8" i="15"/>
  <c r="D18" i="9" l="1"/>
  <c r="M44" i="9" s="1"/>
  <c r="M43" i="9"/>
  <c r="A30" i="64"/>
  <c r="A30" i="51"/>
  <c r="B22" i="63" s="1"/>
  <c r="AC43" i="39"/>
  <c r="AA44" i="39"/>
  <c r="S41" i="39"/>
  <c r="S34" i="39"/>
  <c r="AB38" i="39"/>
  <c r="AB37" i="39"/>
  <c r="S31" i="39"/>
  <c r="W31" i="39"/>
  <c r="AB29" i="39"/>
  <c r="W29" i="39"/>
  <c r="F27" i="39"/>
  <c r="AA27" i="39" s="1"/>
  <c r="J27" i="39"/>
  <c r="AC27" i="39" s="1"/>
  <c r="F101" i="39"/>
  <c r="G101" i="39" s="1"/>
  <c r="H27" i="39"/>
  <c r="W27" i="39"/>
  <c r="J25" i="39"/>
  <c r="F99" i="39"/>
  <c r="G99" i="39" s="1"/>
  <c r="H25" i="39"/>
  <c r="U25" i="39" s="1"/>
  <c r="F25" i="39"/>
  <c r="AA25" i="39" s="1"/>
  <c r="AB25" i="39"/>
  <c r="S25" i="39"/>
  <c r="G97" i="39"/>
  <c r="J23" i="39"/>
  <c r="AC23" i="39" s="1"/>
  <c r="H23" i="39"/>
  <c r="W23" i="39"/>
  <c r="S23" i="39"/>
  <c r="H21" i="39"/>
  <c r="G95" i="39"/>
  <c r="F21" i="39"/>
  <c r="S21" i="39" s="1"/>
  <c r="J21" i="39"/>
  <c r="AA21" i="39"/>
  <c r="S15" i="39"/>
  <c r="U14" i="39"/>
  <c r="S14" i="39"/>
  <c r="AB16" i="39"/>
  <c r="AC17" i="39"/>
  <c r="S17" i="39"/>
  <c r="F93" i="39"/>
  <c r="G93" i="39" s="1"/>
  <c r="F19" i="39"/>
  <c r="J19" i="39"/>
  <c r="W19" i="39" s="1"/>
  <c r="H19" i="39"/>
  <c r="AB19" i="39" s="1"/>
  <c r="AC19" i="39"/>
  <c r="U19" i="39"/>
  <c r="P75" i="15"/>
  <c r="F28" i="15"/>
  <c r="F30" i="44"/>
  <c r="M20" i="44"/>
  <c r="F70" i="9"/>
  <c r="F32" i="15"/>
  <c r="F59" i="15" s="1"/>
  <c r="F72" i="9"/>
  <c r="F66" i="9"/>
  <c r="P72" i="9" s="1"/>
  <c r="D23" i="15"/>
  <c r="D12" i="11"/>
  <c r="C12" i="11" s="1"/>
  <c r="BL5" i="3"/>
  <c r="AZ13" i="3"/>
  <c r="AZ5" i="3" s="1"/>
  <c r="E3" i="6" s="1"/>
  <c r="C21" i="4" s="1"/>
  <c r="O5" i="54" s="1"/>
  <c r="B45" i="63" s="1"/>
  <c r="A25" i="51"/>
  <c r="B18" i="63" s="1"/>
  <c r="K17" i="4"/>
  <c r="A22" i="51" s="1"/>
  <c r="B16" i="63" s="1"/>
  <c r="N76" i="9"/>
  <c r="L76" i="9"/>
  <c r="K76" i="9"/>
  <c r="K77" i="9" s="1"/>
  <c r="K79" i="9" s="1"/>
  <c r="K81" i="9" s="1"/>
  <c r="R49" i="21"/>
  <c r="E48" i="21"/>
  <c r="E53" i="21" s="1"/>
  <c r="F53" i="21" s="1"/>
  <c r="U7" i="21"/>
  <c r="D67" i="40"/>
  <c r="E14" i="52"/>
  <c r="G30" i="6"/>
  <c r="G31" i="6" s="1"/>
  <c r="D10" i="1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B6" i="52"/>
  <c r="E7" i="52"/>
  <c r="C4" i="4" s="1"/>
  <c r="B20" i="55" s="1"/>
  <c r="B70" i="63"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F58" i="15"/>
  <c r="F31" i="15"/>
  <c r="M19" i="44"/>
  <c r="F33" i="44"/>
  <c r="I3" i="65"/>
  <c r="C18" i="44"/>
  <c r="I6" i="65"/>
  <c r="J5" i="65"/>
  <c r="J3" i="65"/>
  <c r="I7" i="65"/>
  <c r="C16" i="15"/>
  <c r="J6" i="65"/>
  <c r="I4" i="65"/>
  <c r="J4" i="65"/>
  <c r="J7" i="65"/>
  <c r="C17" i="15"/>
  <c r="I5" i="65"/>
  <c r="S27" i="39" l="1"/>
  <c r="AB27" i="39"/>
  <c r="U27" i="39"/>
  <c r="AC25" i="39"/>
  <c r="W25" i="39"/>
  <c r="AB23" i="39"/>
  <c r="U23" i="39"/>
  <c r="W21" i="39"/>
  <c r="AC21" i="39"/>
  <c r="U21" i="39"/>
  <c r="AB21" i="39"/>
  <c r="S19" i="39"/>
  <c r="AA19" i="39"/>
  <c r="H103" i="46"/>
  <c r="D16" i="43"/>
  <c r="C16" i="43" s="1"/>
  <c r="D16" i="12"/>
  <c r="L38" i="9"/>
  <c r="B14" i="66" s="1"/>
  <c r="B1" i="66" s="1"/>
  <c r="E6" i="6"/>
  <c r="D45" i="9"/>
  <c r="D46" i="9"/>
  <c r="C34" i="12"/>
  <c r="D33" i="12" s="1"/>
  <c r="C49" i="21"/>
  <c r="B3" i="21" s="1"/>
  <c r="B2" i="21" s="1"/>
  <c r="C48" i="2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3" i="65"/>
  <c r="E2" i="65"/>
  <c r="AE6" i="1"/>
  <c r="D22" i="12" l="1"/>
  <c r="C22" i="12" s="1"/>
  <c r="C20" i="12" s="1"/>
  <c r="D13" i="11"/>
  <c r="C13" i="11" s="1"/>
  <c r="D19" i="12"/>
  <c r="C19" i="12" s="1"/>
  <c r="C16" i="12"/>
  <c r="C7" i="66"/>
  <c r="C8" i="66"/>
  <c r="M28" i="46"/>
  <c r="N28" i="46"/>
  <c r="B40" i="1"/>
  <c r="F24" i="15" s="1"/>
  <c r="C24" i="15" s="1"/>
  <c r="F17" i="11"/>
  <c r="C17" i="11" s="1"/>
  <c r="C19" i="11" s="1"/>
  <c r="C20" i="11" s="1"/>
  <c r="C21" i="11" s="1"/>
  <c r="C22" i="11" s="1"/>
  <c r="C23" i="11" s="1"/>
  <c r="B2" i="11" s="1"/>
  <c r="E41" i="46"/>
  <c r="C41" i="46" s="1"/>
  <c r="C39" i="46" s="1"/>
  <c r="G39" i="46" s="1"/>
  <c r="I39" i="46" s="1"/>
  <c r="C20" i="46"/>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4" i="46"/>
  <c r="E34" i="46" s="1"/>
  <c r="C37" i="46"/>
  <c r="G37" i="46" s="1"/>
  <c r="I37" i="46" s="1"/>
  <c r="C36" i="46"/>
  <c r="C33" i="46"/>
  <c r="C115" i="46"/>
  <c r="D113" i="46" s="1"/>
  <c r="J28" i="44"/>
  <c r="J31" i="44" s="1"/>
  <c r="J26" i="44"/>
  <c r="J20" i="44"/>
  <c r="C34" i="44"/>
  <c r="C40" i="44"/>
  <c r="C52" i="15"/>
  <c r="C47" i="15" s="1"/>
  <c r="C10" i="15"/>
  <c r="C5" i="15" s="1"/>
  <c r="J26" i="15"/>
  <c r="J24" i="15"/>
  <c r="J18" i="15"/>
  <c r="F41" i="15"/>
  <c r="L52" i="44"/>
  <c r="F68" i="15" l="1"/>
  <c r="J29" i="15"/>
  <c r="F21" i="43"/>
  <c r="C23" i="43" s="1"/>
  <c r="D21" i="43" s="1"/>
  <c r="R26" i="6"/>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8" i="66"/>
  <c r="R20" i="6"/>
  <c r="R21" i="6"/>
  <c r="A6" i="51"/>
  <c r="B7" i="63" s="1"/>
  <c r="A6" i="64"/>
  <c r="A20" i="64"/>
  <c r="A20" i="51"/>
  <c r="B15" i="63" s="1"/>
  <c r="N5" i="54"/>
  <c r="B43" i="63" s="1"/>
  <c r="T13" i="1"/>
  <c r="M16" i="1"/>
  <c r="T9" i="1"/>
  <c r="T11" i="1"/>
  <c r="T12" i="1"/>
  <c r="P14" i="1"/>
  <c r="P16" i="1" s="1"/>
  <c r="C13" i="12" s="1"/>
  <c r="O14" i="1"/>
  <c r="O16" i="1" s="1"/>
  <c r="T7" i="1"/>
  <c r="T10" i="1"/>
  <c r="T6" i="1"/>
  <c r="T8" i="1"/>
  <c r="T1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B5" i="11"/>
  <c r="B3" i="11"/>
  <c r="B4" i="11"/>
  <c r="C59" i="15"/>
  <c r="C65" i="15"/>
  <c r="Q49" i="44"/>
  <c r="Q55" i="44" s="1"/>
  <c r="Q67" i="44"/>
  <c r="Q58" i="44"/>
  <c r="C16" i="44"/>
  <c r="C14" i="15"/>
  <c r="D31" i="6" l="1"/>
  <c r="I6" i="6" s="1"/>
  <c r="E29" i="46"/>
  <c r="C30" i="46"/>
  <c r="E30" i="46" s="1"/>
  <c r="E35" i="46"/>
  <c r="G35" i="46"/>
  <c r="I35" i="46" s="1"/>
  <c r="C15" i="15"/>
  <c r="C18" i="15"/>
  <c r="C17" i="44"/>
  <c r="C20" i="44"/>
  <c r="I27" i="6"/>
  <c r="S19" i="6"/>
  <c r="S27" i="6" s="1"/>
  <c r="H19" i="6"/>
  <c r="C14" i="12"/>
  <c r="C17" i="12"/>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I5" i="6" l="1"/>
  <c r="C26" i="46"/>
  <c r="C27" i="46"/>
  <c r="E4" i="67"/>
  <c r="C19" i="15"/>
  <c r="C20" i="15" s="1"/>
  <c r="C26" i="15" s="1"/>
  <c r="C21" i="44"/>
  <c r="C22" i="44" s="1"/>
  <c r="C25" i="44" s="1"/>
  <c r="C18" i="12"/>
  <c r="C23" i="12"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B4" i="46" l="1"/>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l="1"/>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B5" i="39" s="1"/>
  <c r="C46" i="15"/>
  <c r="Q63" i="15"/>
  <c r="Q67" i="15"/>
  <c r="Q76" i="15" s="1"/>
  <c r="L46" i="15"/>
  <c r="B2" i="15" s="1"/>
  <c r="C10" i="12"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L43" i="9" l="1"/>
  <c r="B4" i="39"/>
  <c r="B3" i="39"/>
  <c r="B3" i="15"/>
  <c r="W7" i="37"/>
  <c r="AC7" i="37"/>
  <c r="V42" i="37" s="1"/>
  <c r="I42" i="37" s="1"/>
  <c r="C45" i="40"/>
  <c r="C44" i="40"/>
  <c r="AB7" i="37"/>
  <c r="T42" i="37" s="1"/>
  <c r="G42" i="37" s="1"/>
  <c r="U7" i="37"/>
  <c r="E48" i="40"/>
  <c r="F48" i="40" s="1"/>
  <c r="E49" i="40"/>
  <c r="F49" i="40" s="1"/>
  <c r="E42" i="37"/>
  <c r="R43" i="37"/>
  <c r="C21" i="9"/>
  <c r="C20" i="9"/>
  <c r="C8" i="12" l="1"/>
  <c r="C6" i="12"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4" i="12" l="1"/>
  <c r="C28" i="12" s="1"/>
  <c r="C26" i="12" s="1"/>
  <c r="C29" i="12"/>
  <c r="B5" i="40"/>
  <c r="B4" i="40"/>
  <c r="B3" i="40"/>
  <c r="C35" i="12" l="1"/>
  <c r="C33" i="12" s="1"/>
  <c r="C31" i="12"/>
  <c r="C30" i="12" s="1"/>
  <c r="C36" i="12" l="1"/>
  <c r="B2" i="12" s="1"/>
  <c r="B3" i="12" s="1"/>
  <c r="D19" i="9"/>
  <c r="D20" i="9"/>
  <c r="B4" i="12" l="1"/>
  <c r="B5" i="12"/>
  <c r="D22" i="9"/>
  <c r="L44" i="9"/>
  <c r="G19" i="9"/>
  <c r="C32" i="9" s="1"/>
  <c r="G20" i="9"/>
  <c r="D21" i="9"/>
  <c r="G22" i="9" l="1"/>
  <c r="G21" i="9"/>
  <c r="N43" i="9"/>
  <c r="C42" i="9"/>
  <c r="O38" i="9"/>
  <c r="C33" i="9"/>
  <c r="C35" i="9"/>
  <c r="F42" i="9" s="1"/>
  <c r="O43" i="9"/>
  <c r="C34" i="9"/>
  <c r="N38" i="9" l="1"/>
  <c r="K28" i="9" s="1"/>
  <c r="D42" i="9"/>
  <c r="Q5" i="54" s="1"/>
  <c r="B47" i="63" s="1"/>
  <c r="C44" i="9"/>
  <c r="D14" i="66"/>
  <c r="D63" i="9"/>
  <c r="N68" i="9"/>
  <c r="R5" i="54"/>
  <c r="B48" i="63" s="1"/>
  <c r="M38" i="9"/>
  <c r="K27" i="9" s="1"/>
  <c r="E42" i="9"/>
  <c r="P5" i="54" s="1"/>
  <c r="B46" i="63" s="1"/>
  <c r="K25" i="9"/>
  <c r="K26" i="9"/>
  <c r="D71" i="9" l="1"/>
  <c r="D66" i="9" s="1"/>
  <c r="N72" i="9" s="1"/>
  <c r="D70" i="9"/>
  <c r="D77" i="9"/>
  <c r="N75" i="9" s="1"/>
  <c r="C90" i="9"/>
  <c r="C111" i="9"/>
  <c r="C104" i="9" s="1"/>
  <c r="C82" i="9"/>
  <c r="C81" i="9" s="1"/>
  <c r="C85" i="9" s="1"/>
  <c r="C86" i="9" s="1"/>
  <c r="D72" i="9" s="1"/>
  <c r="C103" i="9"/>
  <c r="C96" i="9"/>
  <c r="C91" i="9" s="1"/>
  <c r="D44" i="9"/>
  <c r="G14" i="66"/>
  <c r="F44" i="9"/>
  <c r="O39" i="9"/>
  <c r="N69" i="9"/>
  <c r="E44" i="9"/>
  <c r="F14" i="66"/>
  <c r="E14" i="66"/>
  <c r="C113" i="9" l="1"/>
  <c r="C114" i="9" s="1"/>
  <c r="E114" i="9" s="1"/>
  <c r="E115" i="9" s="1"/>
  <c r="R6" i="54"/>
  <c r="B50" i="63" s="1"/>
  <c r="K29" i="9"/>
  <c r="K30" i="9" s="1"/>
  <c r="C97" i="9"/>
  <c r="M86" i="9"/>
  <c r="N86" i="9" s="1"/>
  <c r="M88" i="9"/>
  <c r="N88" i="9" s="1"/>
  <c r="M85" i="9"/>
  <c r="N85" i="9" s="1"/>
  <c r="M84" i="9"/>
  <c r="N84" i="9" s="1"/>
  <c r="M87" i="9"/>
  <c r="N87" i="9" s="1"/>
  <c r="M83" i="9"/>
  <c r="N83" i="9" s="1"/>
  <c r="C115" i="9" l="1"/>
  <c r="D76" i="9" s="1"/>
  <c r="D74" i="9" s="1"/>
  <c r="N74" i="9" s="1"/>
  <c r="O77" i="9" s="1"/>
  <c r="O79" i="9" s="1"/>
  <c r="O80" i="9" s="1"/>
  <c r="N89" i="9"/>
  <c r="O89" i="9" s="1"/>
  <c r="C98" i="9"/>
  <c r="E98" i="9" s="1"/>
  <c r="E99" i="9" s="1"/>
  <c r="O78" i="9" l="1"/>
  <c r="O81" i="9"/>
  <c r="Q77" i="9"/>
  <c r="C99" i="9"/>
  <c r="G15" i="66" l="1"/>
  <c r="F15" i="66" l="1"/>
  <c r="E15" i="66"/>
  <c r="G16" i="66" l="1"/>
  <c r="B6" i="66" s="1"/>
  <c r="C6" i="66" l="1"/>
  <c r="D6" i="66"/>
  <c r="F16" i="66"/>
  <c r="E16"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<sst xmlns="http://schemas.openxmlformats.org/spreadsheetml/2006/main" count="7574" uniqueCount="3306">
  <si>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</si>
  <si>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</si>
  <si>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</si>
  <si>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</si>
  <si>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</si>
  <si>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</si>
  <si>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</si>
  <si>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</si>
  <si>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</si>
  <si>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</si>
  <si>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</si>
  <si>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</si>
  <si>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</si>
  <si>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</si>
  <si>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</si>
  <si>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</si>
  <si>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</si>
  <si>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</si>
  <si>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</si>
  <si>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</si>
  <si>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</si>
  <si>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</si>
  <si>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</si>
  <si>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</si>
  <si>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</si>
  <si>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</si>
  <si>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</si>
  <si>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</si>
  <si>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</si>
  <si>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</si>
  <si>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</si>
  <si>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</si>
  <si>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</si>
  <si>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</si>
  <si>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</si>
  <si>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</si>
  <si>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</si>
  <si>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</si>
  <si>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</si>
  <si>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</si>
  <si>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</si>
  <si>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</si>
  <si>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</si>
  <si>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</si>
  <si>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</si>
  <si>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</si>
  <si>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</si>
  <si>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</si>
  <si>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</si>
  <si>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</si>
  <si>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</si>
  <si>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</si>
  <si>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</si>
  <si>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</si>
  <si>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</si>
  <si>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</si>
  <si>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</si>
  <si>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</si>
  <si>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</si>
  <si>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</si>
  <si>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</si>
  <si>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</si>
  <si>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</si>
  <si>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</si>
  <si>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</si>
  <si>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</si>
  <si>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</si>
  <si>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</si>
  <si>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</si>
  <si>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</si>
  <si>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</si>
  <si>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</si>
  <si>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</si>
  <si>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</si>
  <si>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</si>
  <si>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</si>
  <si>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</si>
  <si>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</si>
  <si>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</si>
  <si>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</si>
  <si>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</si>
  <si>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</si>
  <si>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</si>
  <si>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</si>
  <si>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</si>
  <si>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</si>
  <si>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</si>
  <si>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</si>
  <si>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</si>
  <si>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</si>
  <si>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</si>
  <si>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</si>
  <si>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</si>
  <si>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</si>
  <si>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</si>
  <si>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</si>
  <si>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</si>
  <si>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</si>
  <si>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</si>
  <si>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</si>
  <si>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</si>
  <si>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</si>
  <si>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</si>
  <si>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</si>
  <si>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</si>
  <si>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</si>
  <si>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</si>
  <si>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</si>
  <si>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</si>
  <si>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</si>
  <si>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</si>
  <si>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</si>
  <si>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</si>
  <si>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</si>
  <si>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</si>
  <si>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</si>
  <si>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</si>
  <si>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</si>
  <si>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</si>
  <si>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</si>
  <si>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</si>
  <si>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</si>
  <si>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</si>
  <si>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</si>
  <si>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</si>
  <si>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</si>
  <si>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</si>
  <si>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</si>
  <si>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</si>
  <si>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</si>
  <si>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</si>
  <si>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</si>
  <si>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</si>
  <si>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</si>
  <si>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</si>
  <si>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</si>
  <si>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</si>
  <si>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</si>
  <si>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</si>
  <si>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</si>
  <si>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</si>
  <si>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</si>
  <si>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</si>
  <si>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</si>
  <si>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</si>
  <si>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</si>
  <si>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</si>
  <si>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</si>
  <si>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</si>
  <si>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</si>
  <si>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</si>
  <si>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</si>
  <si>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</si>
  <si>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</si>
  <si>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</si>
  <si>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</si>
  <si>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</si>
  <si>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</si>
  <si>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</si>
  <si>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</si>
  <si>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</si>
  <si>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</si>
  <si>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</si>
  <si>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</si>
  <si>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</si>
  <si>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</si>
  <si>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</si>
  <si>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</si>
  <si>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</si>
  <si>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</si>
  <si>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</si>
  <si>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</si>
  <si>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</si>
  <si>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</si>
  <si>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</si>
  <si>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</si>
  <si>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</si>
  <si>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</si>
  <si>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</si>
  <si>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</si>
  <si>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</si>
  <si>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</si>
  <si>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</si>
  <si>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</si>
  <si>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</si>
  <si>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</si>
  <si>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</si>
  <si>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</si>
  <si>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</si>
  <si>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</si>
  <si>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</si>
  <si>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</si>
  <si>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</si>
  <si>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</si>
  <si>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</si>
  <si>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</si>
  <si>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</si>
  <si>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</si>
  <si>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</si>
  <si>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</si>
  <si>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</si>
  <si>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</si>
  <si>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</si>
  <si>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</si>
  <si>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</si>
  <si>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</si>
  <si>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</si>
  <si>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</si>
  <si>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</si>
  <si>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</si>
  <si>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</si>
  <si>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</si>
  <si>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</si>
  <si>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</si>
  <si>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</si>
  <si>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</si>
  <si>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</si>
  <si>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</si>
  <si>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</si>
  <si>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</si>
  <si>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</si>
  <si>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</si>
  <si>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</si>
  <si>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</si>
  <si>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</si>
  <si>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</si>
  <si>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</si>
  <si>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</si>
  <si>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</si>
  <si>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</si>
  <si>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</si>
  <si>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</si>
  <si>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</si>
  <si>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</si>
  <si>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</si>
  <si>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</si>
  <si>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</si>
  <si>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</si>
  <si>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</si>
  <si>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</si>
  <si>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</si>
  <si>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</si>
  <si>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</si>
  <si>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</si>
  <si>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</si>
  <si>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</si>
  <si>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</si>
  <si>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</si>
  <si>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</si>
  <si>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</si>
  <si>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</si>
  <si>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</si>
  <si>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</si>
  <si>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</si>
  <si>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</si>
  <si>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</si>
  <si>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</si>
  <si>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</si>
  <si>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</si>
  <si>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</si>
  <si>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</si>
  <si>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</si>
  <si>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</si>
  <si>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</si>
  <si>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</si>
  <si>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</si>
  <si>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</si>
  <si>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</si>
  <si>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</si>
  <si>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</si>
  <si>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</si>
  <si>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</si>
  <si>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</si>
  <si>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</si>
  <si>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</si>
  <si>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</si>
  <si>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</si>
  <si>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</si>
  <si>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</si>
  <si>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</si>
  <si>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</si>
  <si>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</si>
  <si>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</si>
  <si>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</si>
  <si>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</si>
  <si>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</si>
  <si>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</si>
  <si>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</si>
  <si>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</si>
  <si>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</si>
  <si>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</si>
  <si>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</si>
  <si>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</si>
  <si>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</si>
  <si>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</si>
  <si>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</si>
  <si>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</si>
  <si>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</si>
  <si>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</si>
  <si>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</si>
  <si>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</si>
  <si>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</si>
  <si>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</si>
  <si>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</si>
  <si>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</si>
  <si>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</si>
  <si>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</si>
  <si>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</si>
  <si>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</si>
  <si>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</si>
  <si>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</si>
  <si>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</si>
  <si>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</si>
  <si>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</si>
  <si>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</si>
  <si>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</si>
  <si>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</si>
  <si>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</si>
  <si>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</si>
  <si>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</si>
  <si>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</si>
  <si>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</si>
  <si>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</si>
  <si>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</si>
  <si>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</si>
  <si>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</si>
  <si>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</si>
  <si>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</si>
  <si>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</si>
  <si>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</si>
  <si>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</si>
  <si>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</si>
  <si>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</si>
  <si>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</si>
  <si>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</si>
  <si>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</si>
  <si>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</si>
  <si>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</si>
  <si>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</si>
  <si>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</si>
  <si>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</si>
  <si>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</si>
  <si>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</si>
  <si>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</si>
  <si>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</si>
  <si>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</si>
  <si>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</si>
  <si>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</si>
  <si>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</si>
  <si>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</si>
  <si>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</si>
  <si>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</si>
  <si>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</si>
  <si>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</si>
  <si>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</si>
  <si>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</si>
  <si>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</si>
  <si>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</si>
  <si>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</si>
  <si>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</si>
  <si>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</si>
  <si>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</si>
  <si>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</si>
  <si>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</si>
  <si>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</si>
  <si>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</si>
  <si>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</si>
  <si>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</si>
  <si>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</si>
  <si>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</si>
  <si>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</si>
  <si>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</si>
  <si>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</si>
  <si>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</si>
  <si>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</si>
  <si>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</si>
  <si>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</si>
  <si>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</si>
  <si>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</si>
  <si>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</si>
  <si>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</si>
  <si>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</si>
  <si>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</si>
  <si>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</si>
  <si>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</si>
  <si>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</si>
  <si>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</si>
  <si>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</si>
  <si>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</si>
  <si>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</si>
  <si>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</si>
  <si>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</si>
  <si>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</si>
  <si>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</si>
  <si>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</si>
  <si>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</si>
  <si>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</si>
  <si>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</si>
  <si>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</si>
  <si>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</si>
  <si>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</si>
  <si>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</si>
  <si>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</si>
  <si>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</si>
  <si>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</si>
  <si>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</si>
  <si>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</si>
  <si>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</si>
  <si>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</si>
  <si>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</si>
  <si>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</si>
  <si>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</si>
  <si>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</si>
  <si>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</si>
  <si>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</si>
  <si>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</si>
  <si>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</si>
  <si>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</si>
  <si>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</si>
  <si>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</si>
  <si>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</si>
  <si>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</si>
  <si>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</si>
  <si>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</si>
  <si>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</si>
  <si>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</si>
  <si>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</si>
  <si>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</si>
  <si>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</si>
  <si>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</si>
  <si>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</si>
  <si>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</si>
  <si>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</si>
  <si>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</si>
  <si>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</si>
  <si>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</si>
  <si>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</si>
  <si>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</si>
  <si>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</si>
  <si>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</si>
  <si>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</si>
  <si>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</si>
  <si>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</si>
  <si>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</si>
  <si>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</si>
  <si>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</si>
  <si>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</si>
  <si>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</si>
  <si>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</si>
  <si>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</si>
  <si>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</si>
  <si>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</si>
  <si>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</si>
  <si>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</si>
  <si>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</si>
  <si>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</si>
  <si>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</si>
  <si>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</si>
  <si>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</si>
  <si>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</si>
  <si>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</si>
  <si>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</si>
  <si>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</si>
  <si>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</si>
  <si>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</si>
  <si>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</si>
  <si>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</si>
  <si>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</si>
  <si>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</si>
  <si>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</si>
  <si>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</si>
  <si>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</si>
  <si>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</si>
  <si>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</si>
  <si>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</si>
  <si>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</si>
  <si>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</si>
  <si>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</si>
  <si>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</si>
  <si>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</si>
  <si>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</si>
  <si>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</si>
  <si>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</si>
  <si>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</si>
  <si>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</si>
  <si>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</si>
  <si>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</si>
  <si>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</si>
  <si>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</si>
  <si>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</si>
  <si>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</si>
  <si>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</si>
  <si>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</si>
  <si>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</si>
  <si>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</si>
  <si>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</si>
  <si>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</si>
  <si>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</si>
  <si>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</si>
  <si>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</si>
  <si>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</si>
  <si>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</si>
  <si>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</si>
  <si>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</si>
  <si>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</si>
  <si>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</si>
  <si>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</si>
  <si>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</si>
  <si>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</si>
  <si>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</si>
  <si>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</si>
  <si>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</si>
  <si>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</si>
  <si>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</si>
  <si>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</si>
  <si>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</si>
  <si>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</si>
  <si>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</si>
  <si>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</si>
  <si>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</si>
  <si>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</si>
  <si>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</si>
  <si>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</si>
  <si>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</si>
  <si>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</si>
  <si>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</si>
  <si>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</si>
  <si>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</si>
  <si>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</si>
  <si>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</si>
  <si>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</si>
  <si>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</si>
  <si>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</si>
  <si>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</si>
  <si>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</si>
  <si>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</si>
  <si>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</si>
  <si>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</si>
  <si>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</si>
  <si>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</si>
  <si>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</si>
  <si>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</si>
  <si>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</si>
  <si>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</si>
  <si>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</si>
  <si>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</si>
  <si>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</si>
  <si>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</si>
  <si>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</si>
  <si>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</si>
  <si>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</si>
  <si>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</si>
  <si>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</si>
  <si>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</si>
  <si>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</si>
  <si>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</si>
  <si>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</si>
  <si>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</si>
  <si>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</si>
  <si>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</si>
  <si>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</si>
  <si>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</si>
  <si>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</si>
  <si>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</si>
  <si>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</si>
  <si>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</si>
  <si>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</si>
  <si>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</si>
  <si>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</si>
  <si>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</si>
  <si>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</si>
  <si>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</si>
  <si>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</si>
  <si>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</si>
  <si>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</si>
  <si>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</si>
  <si>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</si>
  <si>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</si>
  <si>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</si>
  <si>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</si>
  <si>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</si>
  <si>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</si>
  <si>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</si>
  <si>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</si>
  <si>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</si>
  <si>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</si>
  <si>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</si>
  <si>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</si>
  <si>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</si>
  <si>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</si>
  <si>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</si>
  <si>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</si>
  <si>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</si>
  <si>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</si>
  <si>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</si>
  <si>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</si>
  <si>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</si>
  <si>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</si>
  <si>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</si>
  <si>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</si>
  <si>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</si>
  <si>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</si>
  <si>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</si>
  <si>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</si>
  <si>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</si>
  <si>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</si>
  <si>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</si>
  <si>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</si>
  <si>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</si>
  <si>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</si>
  <si>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</si>
  <si>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</si>
  <si>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</si>
  <si>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</si>
  <si>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</si>
  <si>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</si>
  <si>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</si>
  <si>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</si>
  <si>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</si>
  <si>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</si>
  <si>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</si>
  <si>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</si>
  <si>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</si>
  <si>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</si>
  <si>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</si>
  <si>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</si>
  <si>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</si>
  <si>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</si>
  <si>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</si>
  <si>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</si>
  <si>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</si>
  <si>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</si>
  <si>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</si>
  <si>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</si>
  <si>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</si>
  <si>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</si>
  <si>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</si>
  <si>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</si>
  <si>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</si>
  <si>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</si>
  <si>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</si>
  <si>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</si>
  <si>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</si>
  <si>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</si>
  <si>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</si>
  <si>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</si>
  <si>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</si>
  <si>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</si>
  <si>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</si>
  <si>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</si>
  <si>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</si>
  <si>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</si>
  <si>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</si>
  <si>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</si>
  <si>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</si>
  <si>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</si>
  <si>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</si>
  <si>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</si>
  <si>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</si>
  <si>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</si>
  <si>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</si>
  <si>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</si>
  <si>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</si>
  <si>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</si>
  <si>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</si>
  <si>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</si>
  <si>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</si>
  <si>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</si>
  <si>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</si>
  <si>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</si>
  <si>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</si>
  <si>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</si>
  <si>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</si>
  <si>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</si>
  <si>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</si>
  <si>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</si>
  <si>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</si>
  <si>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</si>
  <si>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</si>
  <si>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</si>
  <si>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</si>
  <si>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</si>
  <si>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</si>
  <si>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</si>
  <si>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</si>
  <si>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</si>
  <si>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</si>
  <si>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</si>
  <si>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</si>
  <si>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</si>
  <si>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</si>
  <si>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</si>
  <si>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</si>
  <si>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</si>
  <si>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</si>
  <si>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</si>
  <si>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</si>
  <si>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</si>
  <si>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</si>
  <si>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</si>
  <si>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</si>
  <si>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</si>
  <si>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</si>
  <si>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</si>
  <si>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</si>
  <si>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</si>
  <si>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</si>
  <si>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</si>
  <si>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</si>
  <si>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</si>
  <si>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</si>
  <si>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</si>
  <si>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</si>
  <si>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</si>
  <si>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</si>
  <si>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</si>
  <si>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</si>
  <si>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</si>
  <si>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</si>
  <si>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</si>
  <si>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</si>
  <si>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</si>
  <si>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</si>
  <si>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</si>
  <si>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</si>
  <si>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</si>
  <si>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</si>
  <si>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</si>
  <si>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</si>
  <si>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</si>
  <si>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</si>
  <si>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</si>
  <si>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</si>
  <si>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</si>
  <si>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</si>
  <si>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</si>
  <si>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</si>
  <si>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</si>
  <si>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</si>
  <si>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</si>
  <si>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</si>
  <si>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</si>
  <si>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</si>
  <si>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</si>
  <si>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</si>
  <si>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</si>
  <si>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</si>
  <si>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</si>
  <si>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</si>
  <si>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</si>
  <si>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</si>
  <si>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</si>
  <si>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</si>
  <si>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</si>
  <si>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</si>
  <si>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</si>
  <si>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</si>
  <si>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</si>
  <si>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</si>
  <si>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</si>
  <si>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</si>
  <si>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</si>
  <si>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</si>
  <si>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</si>
  <si>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</si>
  <si>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</si>
  <si>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</si>
  <si>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</si>
  <si>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</si>
  <si>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</si>
  <si>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</si>
  <si>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</si>
  <si>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</si>
  <si>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</si>
  <si>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</si>
  <si>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</si>
  <si>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</si>
  <si>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</si>
  <si>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</si>
  <si>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</si>
  <si>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</si>
  <si>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</si>
  <si>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</si>
  <si>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</si>
  <si>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</si>
  <si>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</si>
  <si>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</si>
  <si>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</si>
  <si>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</si>
  <si>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</si>
  <si>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</si>
  <si>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</si>
  <si>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</si>
  <si>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</si>
  <si>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</si>
  <si>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</si>
  <si>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</si>
  <si>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</si>
  <si>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</si>
  <si>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</si>
  <si>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</si>
  <si>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</si>
  <si>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</si>
  <si>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</si>
  <si>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</si>
  <si>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</si>
  <si>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</si>
  <si>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</si>
  <si>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</si>
  <si>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</si>
  <si>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</si>
  <si>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</si>
  <si>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</si>
  <si>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</si>
  <si>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</si>
  <si>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</si>
  <si>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</si>
  <si>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</si>
  <si>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</si>
  <si>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</si>
  <si>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</si>
  <si>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</si>
  <si>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</si>
  <si>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</si>
  <si>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</si>
  <si>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</si>
  <si>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</si>
  <si>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</si>
  <si>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</si>
  <si>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</si>
  <si>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</si>
  <si>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</si>
  <si>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</si>
  <si>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</si>
  <si>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</si>
  <si>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</si>
  <si>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</si>
  <si>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</si>
  <si>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</si>
  <si>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</si>
  <si>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</si>
  <si>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</si>
  <si>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</si>
  <si>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</si>
  <si>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</si>
  <si>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</si>
  <si>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</si>
  <si>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</si>
  <si>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</si>
  <si>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</si>
  <si>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</si>
  <si>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</si>
  <si>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</si>
  <si>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</si>
  <si>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</si>
  <si>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</si>
  <si>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</si>
  <si>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</si>
  <si>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</si>
  <si>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</si>
  <si>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</si>
  <si>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</si>
  <si>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</si>
  <si>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</si>
  <si>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</si>
  <si>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</si>
  <si>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</si>
  <si>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</si>
  <si>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</si>
  <si>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</si>
  <si>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</si>
  <si>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</si>
  <si>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</si>
  <si>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</si>
  <si>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</si>
  <si>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</si>
  <si>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</si>
  <si>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</si>
  <si>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</si>
  <si>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</si>
  <si>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</si>
  <si>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</si>
  <si>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</si>
  <si>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</si>
  <si>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</si>
  <si>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</si>
  <si>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</si>
  <si>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</si>
  <si>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</si>
  <si>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</si>
  <si>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</si>
  <si>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</si>
  <si>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</si>
  <si>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</si>
  <si>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</si>
  <si>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</si>
  <si>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</si>
  <si>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</si>
  <si>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</si>
  <si>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</si>
  <si>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</si>
  <si>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</si>
  <si>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</si>
  <si>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</si>
  <si>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</si>
  <si>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</si>
  <si>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</si>
  <si>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</si>
  <si>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</si>
  <si>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</si>
  <si>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</si>
  <si>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</si>
  <si>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</si>
  <si>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</si>
  <si>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</si>
  <si>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</si>
  <si>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</si>
  <si>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</si>
  <si>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</si>
  <si>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</si>
  <si>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</si>
  <si>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</si>
  <si>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</si>
  <si>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</si>
  <si>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</si>
  <si>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</si>
  <si>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</si>
  <si>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</si>
  <si>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</si>
  <si>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</si>
  <si>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</si>
  <si>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</si>
  <si>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</si>
  <si>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</si>
  <si>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</si>
  <si>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</si>
  <si>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</si>
  <si>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</si>
  <si>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</si>
  <si>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</si>
  <si>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</si>
  <si>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</si>
  <si>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</si>
  <si>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</si>
  <si>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</si>
  <si>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</si>
  <si>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</si>
  <si>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</si>
  <si>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</si>
  <si>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</si>
  <si>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</si>
  <si>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</si>
  <si>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</si>
  <si>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</si>
  <si>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</si>
  <si>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</si>
  <si>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</si>
  <si>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</si>
  <si>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</si>
  <si>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</si>
  <si>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</si>
  <si>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</si>
  <si>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</si>
  <si>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</si>
  <si>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</si>
  <si>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</si>
  <si>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</si>
  <si>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</si>
  <si>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</si>
  <si>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</si>
  <si>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</si>
  <si>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</si>
  <si>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</si>
  <si>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</si>
  <si>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</si>
  <si>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</si>
  <si>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</si>
  <si>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</si>
  <si>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</si>
  <si>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</si>
  <si>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</si>
  <si>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</si>
  <si>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</si>
  <si>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</si>
  <si>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</si>
  <si>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</si>
  <si>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</si>
  <si>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</si>
  <si>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</si>
  <si>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</si>
  <si>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</si>
  <si>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</si>
  <si>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</si>
  <si>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</si>
  <si>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</si>
  <si>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</si>
  <si>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</si>
  <si>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</si>
  <si>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</si>
  <si>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</si>
  <si>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</si>
  <si>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</si>
  <si>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</si>
  <si>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</si>
  <si>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</si>
  <si>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</si>
  <si>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</si>
  <si>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</si>
  <si>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</si>
  <si>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</si>
  <si>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</si>
  <si>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</si>
  <si>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</si>
  <si>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</si>
  <si>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</si>
  <si>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</si>
  <si>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</si>
  <si>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</si>
  <si>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</si>
  <si>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</si>
  <si>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</si>
  <si>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</si>
  <si>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</si>
  <si>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</si>
  <si>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</si>
  <si>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</si>
  <si>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</si>
  <si>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</si>
  <si>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</si>
  <si>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</si>
  <si>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</si>
  <si>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</si>
  <si>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</si>
  <si>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</si>
  <si>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</si>
  <si>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</si>
  <si>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</si>
  <si>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</si>
  <si>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</si>
  <si>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</si>
  <si>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</si>
  <si>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</si>
  <si>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</si>
  <si>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</si>
  <si>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</si>
  <si>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</si>
  <si>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</si>
  <si>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</si>
  <si>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</si>
  <si>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</si>
  <si>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</si>
  <si>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</si>
  <si>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</si>
  <si>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</si>
  <si>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</si>
  <si>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</si>
  <si>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</si>
  <si>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</si>
  <si>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</si>
  <si>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</si>
  <si>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</si>
  <si>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</si>
  <si>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</si>
  <si>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</si>
  <si>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</si>
  <si>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</si>
  <si>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</si>
  <si>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</si>
  <si>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</si>
  <si>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</si>
  <si>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</si>
  <si>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</si>
  <si>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</si>
  <si>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</si>
  <si>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</si>
  <si>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</si>
  <si>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</si>
  <si>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</si>
  <si>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</si>
  <si>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</si>
  <si>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</si>
  <si>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</si>
  <si>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</si>
  <si>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</si>
  <si>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</si>
  <si>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</si>
  <si>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</si>
  <si>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</si>
  <si>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</si>
  <si>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</si>
  <si>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</si>
  <si>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</si>
  <si>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</si>
  <si>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</si>
  <si>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</si>
  <si>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</si>
  <si>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</si>
  <si>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</si>
  <si>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</si>
  <si>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</si>
  <si>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</si>
  <si>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</si>
  <si>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</si>
  <si>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</si>
  <si>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</si>
  <si>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</si>
  <si>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</si>
  <si>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</si>
  <si>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</si>
  <si>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</si>
  <si>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</si>
  <si>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</si>
  <si>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</si>
  <si>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</si>
  <si>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</si>
  <si>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</si>
  <si>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</si>
  <si>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</si>
  <si>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</si>
  <si>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</si>
  <si>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</si>
  <si>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</si>
  <si>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</si>
  <si>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</si>
  <si>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</si>
  <si>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</si>
  <si>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</si>
  <si>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</si>
  <si>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</si>
  <si>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</si>
  <si>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</si>
  <si>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</si>
  <si>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</si>
  <si>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</si>
  <si>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</si>
  <si>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</si>
  <si>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</si>
  <si>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</si>
  <si>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</si>
  <si>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</si>
  <si>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</si>
  <si>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</si>
  <si>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</si>
  <si>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</si>
  <si>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</si>
  <si>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</si>
  <si>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</si>
  <si>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</si>
  <si>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</si>
  <si>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</si>
  <si>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</si>
  <si>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</si>
  <si>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</si>
  <si>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</si>
  <si>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</si>
  <si>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</si>
  <si>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</si>
  <si>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</si>
  <si>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</si>
  <si>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</si>
  <si>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</si>
  <si>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</si>
  <si>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</si>
  <si>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</si>
  <si>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</si>
  <si>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</si>
  <si>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</si>
  <si>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</si>
  <si>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</si>
  <si>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</si>
  <si>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</si>
  <si>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</si>
  <si>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</si>
  <si>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</si>
  <si>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</si>
  <si>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</si>
  <si>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</si>
  <si>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</si>
  <si>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</si>
  <si>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</si>
  <si>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</si>
  <si>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</si>
  <si>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</si>
  <si>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</si>
  <si>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</si>
  <si>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</si>
  <si>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</si>
  <si>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</si>
  <si>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</si>
  <si>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</si>
  <si>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</si>
  <si>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</si>
  <si>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</si>
  <si>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</si>
  <si>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</si>
  <si>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</si>
  <si>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</si>
  <si>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</si>
  <si>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</si>
  <si>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</si>
  <si>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</si>
  <si>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</si>
  <si>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</si>
  <si>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</si>
  <si>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</si>
  <si>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</si>
  <si>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</si>
  <si>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</si>
  <si>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</si>
  <si>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</si>
  <si>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</si>
  <si>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</si>
  <si>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</si>
  <si>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</si>
  <si>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</si>
  <si>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</si>
  <si>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</si>
  <si>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</si>
  <si>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</si>
  <si>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</si>
  <si>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</si>
  <si>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</si>
  <si>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</si>
  <si>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</si>
  <si>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</si>
  <si>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</si>
  <si>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</si>
  <si>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</si>
  <si>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</si>
  <si>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</si>
  <si>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</si>
  <si>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</si>
  <si>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</si>
  <si>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</si>
  <si>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</si>
  <si>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</si>
  <si>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</si>
  <si>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</si>
  <si>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</si>
  <si>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</si>
  <si>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</si>
  <si>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</si>
  <si>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</si>
  <si>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</si>
  <si>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</si>
  <si>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</si>
  <si>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</si>
  <si>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</si>
  <si>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</si>
  <si>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</si>
  <si>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</si>
  <si>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</si>
  <si>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</si>
  <si>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</si>
  <si>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</si>
  <si>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</si>
  <si>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</si>
  <si>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</si>
  <si>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</si>
  <si>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</si>
  <si>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</si>
  <si>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</si>
  <si>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</si>
  <si>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</si>
  <si>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</si>
  <si>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</si>
  <si>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</si>
  <si>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</si>
  <si>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</si>
  <si>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</si>
  <si>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</si>
  <si>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</si>
  <si>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</si>
  <si>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</si>
  <si>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</si>
  <si>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</si>
  <si>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</si>
  <si>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</si>
  <si>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</si>
  <si>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</si>
  <si>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</si>
  <si>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</si>
  <si>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</si>
  <si>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</si>
  <si>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</si>
  <si>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</si>
  <si>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</si>
  <si>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</si>
  <si>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</si>
  <si>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</si>
  <si>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</si>
  <si>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</si>
  <si>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</si>
  <si>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</si>
  <si>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</si>
  <si>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</si>
  <si>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</si>
  <si>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</si>
  <si>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</si>
  <si>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</si>
  <si>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</si>
  <si>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</si>
  <si>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</si>
  <si>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</si>
  <si>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</si>
  <si>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</si>
  <si>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</si>
  <si>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</si>
  <si>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</si>
  <si>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</si>
  <si>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</si>
  <si>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</si>
  <si>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</si>
  <si>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</si>
  <si>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</si>
  <si>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</si>
  <si>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</si>
  <si>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</si>
  <si>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</si>
  <si>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</si>
  <si>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</si>
  <si>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</si>
  <si>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</si>
  <si>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</si>
  <si>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</si>
  <si>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</si>
  <si>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</si>
  <si>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</si>
  <si>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</si>
  <si>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</si>
  <si>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</si>
  <si>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</si>
  <si>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</si>
  <si>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</si>
  <si>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</si>
  <si>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</si>
  <si>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</si>
  <si>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</si>
  <si>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</si>
  <si>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</si>
  <si>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</si>
  <si>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</si>
  <si>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</si>
  <si>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</si>
  <si>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</si>
  <si>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</si>
  <si>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</si>
  <si>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</si>
  <si>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</si>
  <si>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</si>
  <si>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</si>
  <si>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</si>
  <si>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</si>
  <si>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</si>
  <si>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</si>
  <si>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</si>
  <si>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</si>
  <si>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</si>
  <si>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</si>
  <si>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</si>
  <si>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</si>
  <si>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</si>
  <si>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</si>
  <si>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</si>
  <si>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</si>
  <si>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</si>
  <si>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</si>
  <si>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</si>
  <si>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</si>
  <si>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</si>
  <si>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</si>
  <si>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</si>
  <si>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</si>
  <si>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</si>
  <si>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</si>
  <si>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</si>
  <si>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</si>
  <si>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</si>
  <si>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</si>
  <si>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</si>
  <si>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</si>
  <si>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</si>
  <si>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</si>
  <si>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</si>
  <si>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</si>
  <si>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</si>
  <si>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</si>
  <si>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</si>
  <si>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</si>
  <si>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</si>
  <si>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</si>
  <si>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</si>
  <si>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</si>
  <si>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</si>
  <si>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</si>
  <si>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</si>
  <si>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</si>
  <si>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</si>
  <si>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</si>
  <si>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</si>
  <si>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</si>
  <si>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</si>
  <si>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</si>
  <si>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</si>
  <si>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</si>
  <si>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</si>
  <si>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</si>
  <si>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</si>
  <si>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</si>
  <si>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</si>
  <si>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</si>
  <si>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</si>
  <si>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</si>
  <si>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</si>
  <si>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</si>
  <si>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</si>
  <si>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</si>
  <si>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</si>
  <si>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</si>
  <si>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</si>
  <si>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</si>
  <si>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</si>
  <si>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</si>
  <si>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</si>
  <si>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</si>
  <si>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</si>
  <si>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</si>
  <si>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</si>
  <si>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</si>
  <si>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</si>
  <si>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</si>
  <si>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</si>
  <si>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</si>
  <si>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</si>
  <si>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</si>
  <si>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</si>
  <si>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</si>
  <si>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</si>
  <si>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</si>
  <si>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</si>
  <si>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</si>
  <si>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</si>
  <si>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</si>
  <si>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</si>
  <si>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</si>
  <si>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</si>
  <si>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</si>
  <si>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</si>
  <si>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</si>
  <si>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</si>
  <si>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</si>
  <si>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</si>
  <si>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</si>
  <si>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</si>
  <si>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</si>
  <si>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</si>
  <si>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</si>
  <si>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</si>
  <si>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</si>
  <si>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</si>
  <si>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</si>
  <si>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</si>
  <si>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</si>
  <si>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</si>
  <si>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</si>
  <si>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</si>
  <si>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</si>
  <si>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</si>
  <si>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</si>
  <si>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</si>
  <si>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</si>
  <si>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</si>
  <si>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</si>
  <si>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</si>
  <si>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</si>
  <si>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</si>
  <si>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</si>
  <si>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</si>
  <si>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</si>
  <si>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</si>
  <si>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</si>
  <si>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</si>
  <si>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</si>
  <si>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</si>
  <si>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</si>
  <si>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</si>
  <si>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</si>
  <si>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</si>
  <si>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</si>
  <si>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</si>
  <si>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</si>
  <si>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</si>
  <si>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</si>
  <si>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</si>
  <si>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</si>
  <si>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</si>
  <si>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</si>
  <si>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</si>
  <si>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</si>
  <si>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</si>
  <si>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</si>
  <si>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</si>
  <si>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</si>
  <si>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</si>
  <si>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</si>
  <si>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</si>
  <si>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</si>
  <si>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</si>
  <si>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</si>
  <si>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</si>
  <si>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</si>
  <si>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</si>
  <si>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</si>
  <si>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</si>
  <si>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</si>
  <si>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</si>
  <si>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</si>
  <si>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</si>
  <si>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</si>
  <si>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</si>
  <si>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</si>
  <si>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</si>
  <si>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</si>
  <si>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</si>
  <si>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</si>
  <si>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</si>
  <si>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</si>
  <si>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</si>
  <si>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</si>
  <si>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</si>
  <si>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</si>
  <si>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</si>
  <si>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</si>
  <si>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</si>
  <si>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</si>
  <si>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</si>
  <si>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</si>
  <si>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</si>
  <si>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</si>
  <si>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</si>
  <si>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</si>
  <si>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</si>
  <si>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</si>
  <si>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</si>
  <si>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</si>
  <si>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</si>
  <si>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</si>
  <si>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</si>
  <si>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</si>
  <si>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</si>
  <si>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</si>
  <si>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</si>
  <si>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</si>
  <si>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</si>
  <si>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</si>
  <si>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</si>
  <si>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</si>
  <si>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</si>
  <si>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</si>
  <si>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</si>
  <si>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</si>
  <si>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</si>
  <si>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</si>
  <si>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</si>
  <si>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</si>
  <si>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</si>
  <si>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</si>
  <si>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</si>
  <si>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</si>
  <si>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</si>
  <si>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</si>
  <si>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</si>
  <si>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</si>
  <si>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</si>
  <si>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</si>
  <si>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</si>
  <si>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</si>
  <si>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</si>
  <si>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</si>
  <si>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</si>
  <si>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</si>
  <si>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</si>
  <si>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</si>
  <si>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</si>
  <si>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</si>
  <si>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</si>
  <si>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</si>
  <si>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</si>
  <si>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</si>
  <si>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</si>
  <si>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</si>
  <si>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</si>
  <si>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</si>
  <si>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</si>
  <si>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</si>
  <si>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</si>
  <si>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</si>
  <si>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</si>
  <si>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</si>
  <si>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</si>
  <si>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</si>
  <si>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</si>
  <si>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</si>
  <si>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</si>
  <si>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</si>
  <si>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</si>
  <si>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</si>
  <si>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</si>
  <si>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</si>
  <si>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</si>
  <si>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</si>
  <si>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</si>
  <si>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</si>
  <si>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</si>
  <si>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</si>
  <si>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</si>
  <si>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</si>
  <si>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</si>
  <si>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</si>
  <si>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</si>
  <si>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</si>
  <si>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</si>
  <si>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</si>
  <si>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</si>
  <si>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</si>
  <si>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</si>
  <si>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</si>
  <si>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</si>
  <si>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</si>
  <si>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</si>
  <si>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</si>
  <si>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</si>
  <si>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</si>
  <si>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</si>
  <si>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</si>
  <si>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</si>
  <si>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</si>
  <si>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</si>
  <si>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</si>
  <si>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</si>
  <si>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</si>
  <si>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</si>
  <si>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</si>
  <si>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</si>
  <si>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</si>
  <si>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</si>
  <si>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</si>
  <si>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</si>
  <si>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</si>
  <si>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</si>
  <si>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</si>
  <si>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</si>
  <si>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</si>
  <si>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</si>
  <si>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</si>
  <si>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</si>
  <si>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</si>
  <si>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</si>
  <si>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</si>
  <si>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</si>
  <si>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</si>
  <si>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</si>
  <si>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</si>
  <si>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</si>
  <si>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</si>
  <si>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</si>
  <si>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</si>
  <si>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</si>
  <si>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</si>
  <si>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</si>
  <si>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</si>
  <si>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</si>
  <si>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</si>
  <si>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</si>
  <si>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</si>
  <si>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</si>
  <si>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</si>
  <si>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</si>
  <si>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</si>
  <si>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</si>
  <si>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</si>
  <si>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</si>
  <si>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</si>
  <si>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</si>
  <si>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</si>
  <si>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</si>
  <si>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</si>
  <si>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</si>
  <si>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</si>
  <si>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</si>
  <si>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</si>
  <si>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</si>
  <si>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</si>
  <si>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</si>
  <si>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</si>
  <si>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</si>
  <si>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</si>
  <si>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</si>
  <si>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</si>
  <si>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</si>
  <si>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</si>
  <si>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</si>
  <si>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</si>
  <si>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</si>
  <si>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</si>
  <si>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</si>
  <si>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</si>
  <si>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</si>
  <si>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</si>
  <si>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</si>
  <si>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</si>
  <si>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</si>
  <si>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</si>
  <si>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</si>
  <si>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</si>
  <si>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</si>
  <si>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</si>
  <si>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</si>
  <si>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</si>
  <si>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</si>
  <si>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</si>
  <si>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</si>
  <si>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</si>
  <si>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</si>
  <si>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</si>
  <si>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</si>
  <si>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</si>
  <si>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</si>
  <si>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</si>
  <si>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</si>
  <si>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</si>
  <si>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</si>
  <si>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</si>
  <si>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</si>
  <si>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</si>
  <si>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</si>
  <si>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</si>
  <si>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</si>
  <si>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</si>
  <si>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</si>
  <si>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</si>
  <si>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</si>
  <si>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</si>
  <si>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</si>
  <si>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</si>
  <si>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</si>
  <si>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</si>
  <si>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</si>
  <si>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</si>
  <si>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</si>
  <si>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</si>
  <si>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</si>
  <si>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</si>
  <si>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</si>
  <si>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</si>
  <si>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</si>
  <si>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</si>
  <si>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</si>
  <si>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</si>
  <si>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</si>
  <si>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</si>
  <si>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</si>
  <si>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</si>
  <si>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</si>
  <si>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</si>
  <si>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</si>
  <si>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</si>
  <si>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</si>
  <si>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</si>
  <si>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</si>
  <si>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</si>
  <si>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</si>
  <si>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</si>
  <si>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</si>
  <si>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</si>
  <si>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</si>
  <si>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</si>
  <si>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</si>
  <si>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</si>
  <si>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</si>
  <si>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</si>
  <si>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</si>
  <si>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</si>
  <si>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</si>
  <si>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</si>
  <si>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</si>
  <si>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</si>
  <si>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</si>
  <si>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</si>
  <si>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</si>
  <si>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</si>
  <si>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</si>
  <si>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</si>
  <si>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</si>
  <si>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</si>
  <si>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</si>
  <si>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</si>
  <si>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</si>
  <si>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</si>
  <si>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</si>
  <si>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</si>
  <si>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</si>
  <si>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</si>
  <si>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</si>
  <si>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</si>
  <si>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</si>
  <si>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</si>
  <si>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</si>
  <si>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</si>
  <si>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</si>
  <si>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</si>
  <si>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</si>
  <si>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</si>
  <si>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</si>
  <si>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</si>
  <si>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</si>
  <si>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</si>
  <si>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</si>
  <si>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</si>
  <si>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</si>
  <si>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</si>
  <si>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</si>
  <si>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</si>
  <si>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</si>
  <si>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</si>
  <si>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</si>
  <si>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</si>
  <si>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</si>
  <si>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</si>
  <si>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</si>
  <si>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</si>
  <si>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</si>
  <si>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</si>
  <si>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</si>
  <si>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</si>
  <si>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</si>
  <si>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</si>
  <si>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</si>
  <si>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</si>
  <si>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</si>
  <si>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</si>
  <si>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</si>
  <si>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</si>
  <si>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</si>
  <si>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</si>
  <si>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</si>
  <si>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</si>
  <si>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</si>
  <si>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</si>
  <si>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</si>
  <si>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</si>
  <si>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</si>
  <si>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</si>
  <si>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</si>
  <si>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</si>
  <si>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</si>
  <si>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</si>
  <si>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</si>
  <si>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</si>
  <si>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</si>
  <si>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</si>
  <si>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</si>
  <si>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</si>
  <si>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</si>
  <si>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</si>
  <si>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</si>
  <si>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</si>
  <si>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</si>
  <si>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</si>
  <si>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</si>
  <si>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</si>
  <si>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</si>
  <si>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</si>
  <si>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</si>
  <si>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</si>
  <si>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</si>
  <si>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</si>
  <si>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</si>
  <si>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</si>
  <si>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</si>
  <si>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</si>
  <si>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</si>
  <si>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</si>
  <si>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</si>
  <si>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</si>
  <si>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</si>
  <si>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</si>
  <si>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</si>
  <si>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</si>
  <si>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</si>
  <si>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</si>
  <si>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</si>
  <si>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</si>
  <si>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</si>
  <si>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</si>
  <si>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</si>
  <si>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</si>
  <si>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</si>
  <si>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</si>
  <si>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</si>
  <si>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</si>
  <si>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</si>
  <si>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</si>
  <si>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</si>
  <si>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</si>
  <si>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</si>
  <si>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</si>
  <si>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</si>
  <si>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</si>
  <si>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</si>
  <si>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</si>
  <si>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</si>
  <si>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</si>
  <si>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</si>
  <si>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</si>
  <si>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</si>
  <si>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</si>
  <si>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</si>
  <si>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</si>
  <si>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</si>
  <si>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</si>
  <si>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</si>
  <si>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</si>
  <si>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</si>
  <si>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</si>
  <si>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</si>
  <si>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</si>
  <si>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</si>
  <si>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</si>
  <si>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</si>
  <si>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</si>
  <si>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</si>
  <si>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</si>
  <si>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</si>
  <si>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</si>
  <si>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</si>
  <si>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</si>
  <si>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</si>
  <si>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</si>
  <si>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</si>
  <si>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</si>
  <si>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</si>
  <si>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</si>
  <si>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</si>
  <si>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</si>
  <si>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</si>
  <si>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</si>
  <si>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</si>
  <si>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</si>
  <si>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</si>
  <si>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</si>
  <si>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</si>
  <si>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</si>
  <si>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</si>
  <si>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</si>
  <si>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</si>
  <si>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</si>
  <si>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</si>
  <si>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</si>
  <si>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</si>
  <si>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</si>
  <si>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</si>
  <si>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</si>
  <si>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</si>
  <si>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</si>
  <si>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</si>
  <si>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</si>
  <si>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</si>
  <si>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</si>
  <si>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</si>
  <si>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</si>
  <si>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</si>
  <si>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</si>
  <si>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</si>
  <si>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</si>
  <si>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</si>
  <si>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</si>
  <si>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</si>
  <si>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</si>
  <si>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</si>
  <si>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</si>
  <si>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</si>
  <si>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</si>
  <si>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</si>
  <si>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</si>
  <si>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</si>
  <si>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</si>
  <si>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</si>
  <si>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</si>
  <si>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</si>
  <si>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</si>
  <si>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</si>
  <si>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</si>
  <si>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</si>
  <si>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</si>
  <si>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</si>
  <si>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</si>
  <si>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</si>
  <si>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</si>
  <si>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</si>
  <si>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</si>
  <si>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</si>
  <si>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</si>
  <si>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</si>
  <si>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</si>
  <si>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</si>
  <si>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</si>
  <si>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</si>
  <si>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</si>
  <si>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</si>
  <si>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</si>
  <si>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</si>
  <si>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</si>
  <si>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</si>
  <si>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</si>
  <si>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</si>
  <si>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</si>
  <si>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</si>
  <si>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</si>
  <si>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</si>
  <si>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</si>
  <si>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</si>
  <si>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</si>
  <si>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</si>
  <si>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</si>
  <si>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</si>
  <si>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</si>
  <si>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</si>
  <si>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</si>
  <si>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</si>
  <si>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</si>
  <si>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</si>
  <si>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</si>
  <si>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</si>
  <si>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</si>
  <si>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</si>
  <si>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</si>
  <si>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</si>
  <si>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</si>
  <si>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</si>
  <si>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</si>
  <si>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</si>
  <si>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</si>
  <si>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</si>
  <si>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</si>
  <si>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</si>
  <si>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</si>
  <si>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</si>
  <si>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</si>
  <si>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</si>
  <si>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</si>
  <si>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</si>
  <si>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</si>
  <si>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</si>
  <si>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</si>
  <si>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</si>
  <si>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</si>
  <si>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</si>
  <si>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</si>
  <si>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</si>
  <si>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</si>
  <si>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</si>
  <si>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</si>
  <si>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</si>
  <si>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</si>
  <si>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</si>
  <si>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</si>
  <si>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</si>
  <si>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</si>
  <si>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</si>
  <si>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</si>
  <si>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</si>
  <si>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</si>
  <si>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</si>
  <si>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</si>
  <si>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</si>
  <si>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</si>
  <si>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</si>
  <si>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</si>
  <si>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</si>
  <si>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</si>
  <si>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</si>
  <si>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</si>
  <si>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</si>
  <si>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</si>
  <si>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</si>
  <si>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</si>
  <si>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</si>
  <si>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</si>
  <si>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</si>
  <si>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</si>
  <si>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</si>
  <si>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</si>
  <si>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</si>
  <si>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</si>
  <si>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</si>
  <si>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</si>
  <si>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</si>
  <si>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</si>
  <si>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</si>
  <si>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</si>
  <si>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</si>
  <si>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</si>
  <si>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</si>
  <si>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</si>
  <si>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</si>
  <si>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</si>
  <si>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</si>
  <si>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</si>
  <si>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</si>
  <si>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</si>
  <si>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</si>
  <si>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</si>
  <si>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</si>
  <si>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</si>
  <si>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</si>
  <si>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</si>
  <si>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</si>
  <si>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</si>
  <si>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</si>
  <si>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</si>
  <si>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</si>
  <si>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</si>
  <si>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</si>
  <si>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</si>
  <si>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</si>
  <si>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</si>
  <si>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</si>
  <si>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</si>
  <si>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</si>
  <si>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</si>
  <si>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</si>
  <si>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</si>
  <si>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</si>
  <si>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</si>
  <si>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</si>
  <si>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</si>
  <si>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</si>
  <si>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</si>
  <si>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</si>
  <si>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</si>
  <si>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</si>
  <si>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</si>
  <si>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</si>
  <si>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</si>
  <si>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</si>
  <si>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</si>
  <si>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</si>
  <si>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</si>
  <si>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</si>
  <si>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</si>
  <si>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</si>
  <si>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</si>
  <si>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</si>
  <si>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</si>
  <si>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</si>
  <si>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</si>
  <si>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</si>
  <si>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</si>
  <si>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</si>
  <si>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</si>
  <si>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</si>
  <si>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</si>
  <si>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</si>
  <si>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</si>
  <si>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</si>
  <si>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</si>
  <si>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</si>
  <si>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</si>
  <si>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</si>
  <si>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</si>
  <si>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</si>
  <si>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</si>
  <si>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</si>
  <si>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</si>
  <si>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</si>
  <si>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</si>
  <si>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</si>
  <si>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</si>
  <si>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</si>
  <si>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</si>
  <si>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</si>
  <si>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</si>
  <si>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</si>
  <si>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</si>
  <si>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</si>
  <si>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</si>
  <si>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</si>
  <si>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</si>
  <si>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</si>
  <si>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</si>
  <si>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</si>
  <si>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</si>
  <si>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</si>
  <si>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</si>
  <si>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</si>
  <si>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</si>
  <si>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</si>
  <si>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</si>
  <si>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</si>
  <si>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</si>
  <si>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</si>
  <si>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</si>
  <si>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</si>
  <si>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</si>
  <si>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</si>
  <si>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</si>
  <si>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</si>
  <si>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</si>
  <si>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</si>
  <si>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</si>
  <si>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</si>
  <si>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</si>
  <si>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</si>
  <si>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</si>
  <si>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</si>
  <si>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</si>
  <si>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</si>
  <si>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</si>
  <si>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</si>
  <si>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</si>
  <si>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</si>
  <si>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</si>
  <si>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</si>
  <si>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</si>
  <si>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</si>
  <si>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</si>
  <si>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</si>
  <si>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</si>
  <si>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</si>
  <si>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</si>
  <si>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</si>
  <si>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</si>
  <si>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</si>
  <si>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</si>
  <si>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</si>
  <si>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</si>
  <si>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</si>
  <si>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</si>
  <si>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</si>
  <si>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</si>
  <si>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</si>
  <si>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</si>
  <si>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</si>
  <si>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</si>
  <si>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</si>
  <si>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</si>
  <si>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</si>
  <si>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</si>
  <si>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</si>
  <si>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</si>
  <si>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</si>
  <si>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</si>
  <si>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</si>
  <si>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</si>
  <si>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</si>
  <si>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</si>
  <si>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</si>
  <si>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</si>
  <si>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</si>
  <si>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</si>
  <si>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</si>
  <si>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</si>
  <si>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</si>
  <si>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</si>
  <si>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</si>
  <si>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</si>
  <si>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</si>
  <si>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</si>
  <si>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</si>
  <si>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</si>
  <si>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</si>
  <si>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</si>
  <si>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</si>
  <si>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</si>
  <si>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</si>
  <si>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</si>
  <si>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</si>
  <si>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</si>
  <si>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</si>
  <si>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</si>
  <si>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</si>
  <si>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</si>
  <si>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</si>
  <si>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</si>
  <si>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</si>
  <si>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</si>
  <si>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</si>
  <si>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</si>
  <si>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</si>
  <si>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</si>
  <si>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</si>
  <si>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</si>
  <si>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</si>
  <si>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</si>
  <si>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</si>
  <si>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</si>
  <si>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</si>
  <si>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</si>
  <si>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</si>
  <si>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</si>
  <si>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</si>
  <si>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</si>
  <si>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</si>
  <si>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</si>
  <si>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</si>
  <si>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</si>
  <si>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</si>
  <si>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</si>
  <si>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</si>
  <si>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</si>
  <si>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</si>
  <si>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</si>
  <si>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</si>
  <si>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</si>
  <si>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</si>
  <si>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</si>
  <si>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</si>
  <si>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</si>
  <si>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</si>
  <si>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</si>
  <si>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</si>
  <si>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</si>
  <si>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</si>
  <si>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</si>
  <si>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</si>
  <si>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</si>
  <si>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</si>
  <si>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</si>
  <si>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</si>
  <si>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</si>
  <si>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</si>
  <si>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</si>
  <si>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</si>
  <si>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</si>
  <si>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</si>
  <si>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</si>
  <si>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</si>
  <si>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</si>
  <si>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</si>
  <si>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</si>
  <si>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</si>
  <si>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</si>
  <si>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</si>
  <si>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</si>
  <si>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</si>
  <si>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</si>
  <si>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</si>
  <si>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</si>
  <si>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</si>
  <si>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</si>
  <si>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</si>
  <si>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</si>
  <si>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</si>
  <si>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</si>
  <si>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</si>
  <si>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</si>
  <si>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</si>
  <si>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</si>
  <si>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</si>
  <si>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</si>
  <si>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</si>
  <si>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</si>
  <si>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</si>
  <si>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</si>
  <si>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</si>
  <si>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</si>
  <si>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</si>
  <si>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</si>
  <si>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</si>
  <si>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</si>
  <si>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</si>
  <si>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</si>
  <si>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</si>
  <si>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</si>
  <si>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</si>
  <si>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</si>
  <si>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</si>
  <si>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</si>
  <si>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</si>
  <si>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</si>
  <si>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</si>
  <si>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</si>
  <si>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</si>
  <si>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</si>
  <si>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</si>
  <si>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</si>
  <si>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</si>
  <si>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</si>
  <si>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</si>
  <si>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</si>
  <si>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</si>
  <si>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</si>
  <si>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</si>
  <si>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</si>
  <si>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</si>
  <si>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</si>
  <si>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</si>
  <si>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</si>
  <si>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</si>
  <si>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</si>
  <si>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</si>
  <si>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</si>
  <si>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</si>
  <si>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</si>
  <si>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</si>
  <si>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</si>
  <si>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</si>
  <si>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</si>
  <si>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</si>
  <si>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</si>
  <si>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</si>
  <si>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</si>
  <si>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</si>
  <si>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</si>
  <si>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</si>
  <si>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</si>
  <si>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</si>
  <si>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</si>
  <si>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</si>
  <si>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</si>
  <si>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</si>
  <si>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</si>
  <si>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</si>
  <si>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</si>
  <si>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</si>
  <si>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</si>
  <si>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</si>
  <si>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</si>
  <si>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</si>
  <si>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</si>
  <si>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</si>
  <si>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</si>
  <si>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</si>
  <si>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</si>
  <si>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</si>
  <si>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</si>
  <si>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</si>
  <si>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</si>
  <si>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</si>
  <si>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</si>
  <si>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</si>
  <si>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</si>
  <si>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</si>
  <si>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</si>
  <si>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</si>
  <si>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</si>
  <si>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</si>
  <si>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</si>
  <si>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</si>
  <si>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</si>
  <si>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</si>
  <si>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</si>
  <si>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</si>
  <si>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</si>
  <si>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</si>
  <si>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</si>
  <si>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</si>
  <si>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</si>
  <si>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</si>
  <si>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</si>
  <si>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</si>
  <si>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</si>
  <si>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</si>
  <si>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</si>
  <si>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</si>
  <si>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</si>
  <si>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</si>
  <si>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</si>
  <si>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</si>
  <si>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</si>
  <si>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</si>
  <si>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</si>
  <si>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</si>
  <si>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</si>
  <si>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</si>
  <si>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</si>
  <si>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</si>
  <si>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</si>
  <si>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</si>
  <si>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</si>
  <si>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</si>
  <si>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</si>
  <si>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</si>
  <si>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</si>
  <si>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</si>
  <si>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</si>
  <si>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</si>
  <si>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</si>
  <si>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</si>
  <si>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</si>
  <si>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</si>
  <si>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</si>
  <si>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</si>
  <si>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</si>
  <si>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</si>
  <si>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</si>
  <si>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</si>
  <si>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</si>
  <si>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</si>
  <si>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</si>
  <si>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</si>
  <si>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</si>
  <si>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</si>
  <si>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</si>
  <si>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</si>
  <si>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</si>
  <si>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</si>
  <si>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</si>
  <si>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</si>
  <si>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</si>
  <si>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</si>
  <si>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</si>
  <si>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</si>
  <si>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</si>
  <si>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</si>
  <si>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</si>
  <si>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</si>
  <si>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</si>
  <si>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</si>
  <si>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</si>
  <si>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</si>
  <si>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</si>
  <si>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</si>
  <si>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</si>
  <si>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</si>
  <si>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</si>
  <si>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</si>
  <si>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</si>
  <si>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</si>
  <si>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</si>
  <si>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</si>
  <si>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</si>
  <si>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</si>
  <si>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</si>
  <si>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</si>
  <si>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</si>
  <si>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</si>
  <si>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</si>
  <si>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</si>
  <si>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</si>
  <si>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</si>
  <si>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</si>
  <si>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</si>
  <si>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</si>
  <si>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</si>
  <si>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</si>
  <si>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</si>
  <si>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</si>
  <si>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</si>
  <si>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</si>
  <si>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</si>
  <si>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</si>
  <si>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</si>
  <si>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</si>
  <si>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</si>
  <si>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</si>
  <si>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</si>
  <si>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</si>
  <si>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</si>
  <si>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</si>
  <si>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</si>
  <si>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</si>
  <si>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</si>
  <si>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</si>
  <si>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</si>
  <si>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</si>
  <si>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</si>
  <si>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</si>
  <si>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</si>
  <si>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</si>
  <si>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</si>
  <si>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</si>
  <si>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</si>
  <si>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</si>
  <si>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</si>
  <si>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</si>
  <si>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</si>
  <si>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</si>
  <si>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</si>
  <si>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</si>
  <si>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</si>
  <si>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</si>
  <si>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</si>
  <si>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</si>
  <si>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</si>
  <si>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</si>
  <si>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</si>
  <si>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</si>
  <si>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</si>
  <si>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</si>
  <si>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</si>
  <si>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</si>
  <si>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</si>
  <si>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</si>
  <si>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</si>
  <si>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</si>
  <si>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</si>
  <si>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</si>
  <si>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</si>
  <si>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</si>
  <si>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</si>
  <si>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</si>
  <si>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</si>
  <si>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</si>
  <si>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</si>
  <si>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</si>
  <si>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</si>
  <si>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</si>
  <si>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</si>
  <si>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</si>
  <si>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</si>
  <si>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</si>
  <si>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</si>
  <si>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</si>
  <si>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</si>
  <si>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</si>
  <si>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</si>
  <si>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</si>
  <si>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</si>
  <si>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</si>
  <si>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</si>
  <si>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</si>
  <si>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</si>
  <si>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</si>
  <si>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</si>
  <si>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</si>
  <si>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</si>
  <si>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</si>
  <si>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</si>
  <si>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</si>
  <si>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</si>
  <si>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</si>
  <si>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</si>
  <si>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</si>
  <si>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</si>
  <si>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</si>
  <si>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</si>
  <si>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</si>
  <si>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</si>
  <si>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</si>
  <si>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</si>
  <si>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</si>
  <si>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</si>
  <si>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</si>
  <si>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</si>
  <si>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</si>
  <si>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</si>
  <si>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</si>
  <si>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</si>
  <si>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</si>
  <si>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</si>
  <si>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</si>
  <si>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</si>
  <si>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</si>
  <si>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</si>
  <si>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</si>
  <si>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</si>
  <si>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</si>
  <si>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</si>
  <si>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</si>
  <si>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</si>
  <si>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</si>
  <si>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</si>
  <si>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</si>
  <si>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</si>
  <si>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</si>
  <si>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</si>
  <si>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</si>
  <si>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</si>
  <si>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</si>
  <si>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</si>
  <si>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</si>
  <si>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</si>
  <si>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</si>
  <si>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</si>
  <si>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</si>
  <si>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</si>
  <si>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</si>
  <si>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</si>
  <si>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</si>
  <si>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</si>
  <si>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</si>
  <si>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</si>
  <si>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</si>
  <si>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</si>
  <si>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</si>
  <si>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</si>
  <si>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</si>
  <si>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</si>
  <si>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</si>
  <si>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</si>
  <si>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</si>
  <si>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</si>
  <si>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</si>
  <si>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</si>
  <si>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</si>
  <si>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</si>
  <si>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</si>
  <si>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</si>
  <si>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</si>
  <si>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</si>
  <si>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</si>
  <si>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</si>
  <si>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</si>
  <si>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</si>
  <si>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</si>
  <si>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</si>
  <si>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</si>
  <si>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</si>
  <si>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</si>
  <si>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</si>
  <si>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</si>
  <si>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</si>
  <si>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</si>
  <si>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</si>
  <si>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</si>
  <si>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</si>
  <si>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</si>
  <si>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</si>
  <si>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</si>
  <si>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</si>
  <si>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</si>
  <si>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</si>
  <si>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</si>
  <si>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</si>
  <si>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</si>
  <si>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</si>
  <si>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</si>
  <si>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</si>
  <si>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</si>
  <si>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</si>
  <si>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</si>
  <si>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</si>
  <si>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</si>
  <si>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</si>
  <si>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</si>
  <si>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</si>
  <si>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</si>
  <si>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</si>
  <si>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</si>
  <si>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</si>
  <si>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</si>
  <si>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</si>
  <si>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</si>
  <si>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</si>
  <si>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</si>
  <si>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</si>
  <si>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</si>
  <si>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</si>
  <si>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</si>
  <si>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</si>
  <si>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</si>
  <si>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</si>
  <si>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</si>
  <si>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</si>
  <si>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</si>
  <si>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</si>
  <si>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</si>
  <si>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</si>
  <si>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</si>
  <si>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</si>
  <si>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</si>
  <si>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</si>
  <si>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</si>
  <si>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</si>
  <si>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</si>
  <si>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</si>
  <si>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</si>
  <si>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</si>
  <si>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</si>
  <si>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</si>
  <si>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</si>
  <si>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</si>
  <si>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</si>
  <si>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</si>
  <si>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</si>
  <si>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</si>
  <si>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</si>
  <si>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</si>
  <si>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</si>
  <si>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</si>
  <si>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</si>
  <si>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</si>
  <si>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</si>
  <si>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</si>
  <si>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</si>
  <si>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</si>
  <si>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</si>
  <si>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</si>
  <si>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</si>
  <si>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</si>
  <si>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</si>
  <si>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</si>
  <si>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</si>
  <si>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</si>
  <si>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</si>
  <si>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</si>
  <si>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</si>
  <si>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</si>
  <si>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</si>
  <si>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</si>
  <si>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</si>
  <si>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</si>
  <si>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</si>
  <si>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</si>
  <si>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</si>
  <si>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</si>
  <si>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</si>
  <si>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</si>
  <si>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</si>
  <si>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</si>
  <si>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</si>
  <si>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</si>
  <si>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</si>
  <si>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</si>
  <si>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</si>
  <si>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</si>
  <si>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</si>
  <si>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</si>
  <si>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</si>
  <si>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</si>
  <si>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</si>
  <si>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</si>
  <si>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</si>
  <si>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</si>
  <si>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</si>
  <si>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</si>
  <si>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</si>
  <si>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</si>
  <si>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</si>
  <si>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</si>
  <si>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</si>
  <si>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</si>
  <si>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</si>
  <si>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</si>
  <si>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</si>
  <si>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</si>
  <si>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</si>
  <si>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</si>
  <si>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</si>
  <si>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</si>
  <si>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</si>
  <si>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</si>
  <si>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</si>
  <si>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</si>
  <si>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</si>
  <si>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</si>
  <si>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</si>
  <si>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</si>
  <si>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</si>
  <si>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</si>
  <si>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</si>
  <si>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</si>
  <si>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</si>
  <si>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</si>
  <si>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</si>
  <si>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</si>
  <si>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</si>
  <si>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</si>
  <si>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</si>
  <si>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</si>
  <si>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</si>
  <si>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</si>
  <si>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</si>
  <si>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</si>
  <si>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</si>
  <si>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</si>
  <si>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</si>
  <si>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</si>
  <si>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</si>
  <si>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</si>
  <si>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</si>
  <si>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</si>
  <si>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</si>
  <si>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</si>
  <si>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</si>
  <si>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</si>
  <si>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</si>
  <si>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</si>
  <si>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</si>
  <si>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</si>
  <si>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</si>
  <si>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</si>
  <si>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</si>
  <si>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</si>
  <si>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</si>
  <si>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</si>
  <si>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</si>
  <si>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</si>
  <si>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</si>
  <si>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</si>
  <si>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</si>
  <si>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</si>
  <si>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</si>
  <si>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</si>
  <si>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</si>
  <si>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</si>
  <si>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</si>
  <si>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</si>
  <si>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</si>
  <si>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</si>
  <si>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</si>
  <si>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</si>
  <si>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</si>
  <si>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</si>
  <si>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</si>
  <si>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</si>
  <si>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</si>
  <si>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</si>
  <si>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</si>
  <si>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</si>
  <si>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</si>
  <si>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</si>
  <si>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</si>
  <si>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</si>
  <si>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</si>
  <si>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</si>
  <si>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</si>
  <si>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</si>
  <si>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</si>
  <si>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</si>
  <si>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</si>
  <si>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</si>
  <si>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</si>
  <si>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</si>
  <si>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</si>
  <si>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</si>
  <si>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</si>
  <si>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</si>
  <si>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</si>
  <si>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</si>
  <si>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</si>
  <si>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</si>
  <si>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</si>
  <si>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</si>
  <si>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</si>
  <si>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</si>
  <si>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</si>
  <si>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</si>
  <si>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</si>
  <si>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</si>
  <si>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</si>
  <si>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</si>
  <si>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</si>
  <si>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</si>
  <si>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</si>
  <si>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</si>
  <si>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</si>
  <si>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</si>
  <si>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</si>
  <si>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</si>
  <si>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</si>
  <si>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</si>
  <si>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</si>
  <si>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</si>
  <si>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</si>
  <si>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</si>
  <si>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</si>
  <si>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</si>
  <si>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</si>
  <si>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</si>
  <si>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</si>
  <si>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</si>
  <si>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</si>
  <si>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</si>
  <si>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</si>
  <si>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</si>
  <si>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</si>
  <si>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</si>
  <si>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</si>
  <si>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</si>
  <si>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</si>
  <si>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</si>
  <si>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</si>
  <si>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</si>
  <si>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</si>
  <si>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</si>
  <si>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</si>
  <si>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</si>
  <si>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</si>
  <si>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</si>
  <si>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</si>
  <si>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</si>
  <si>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</si>
  <si>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</si>
  <si>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</si>
  <si>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</si>
  <si>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</si>
  <si>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</si>
  <si>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</si>
  <si>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</si>
  <si>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</si>
  <si>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</si>
  <si>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</si>
  <si>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国民信托有限公司</t>
    <phoneticPr fontId="6" type="noConversion"/>
  </si>
  <si>
    <t>成都集装箱物流投资开发有限公司</t>
  </si>
  <si>
    <t>成都集装箱物流投资开发有限公司</t>
    <phoneticPr fontId="6" type="noConversion"/>
  </si>
  <si>
    <t>抵押</t>
  </si>
  <si>
    <t>抵押价格</t>
  </si>
  <si>
    <t>其他：</t>
  </si>
  <si>
    <t>企业</t>
  </si>
  <si>
    <t>青白江区景鸿路以东、绣川河以南</t>
  </si>
  <si>
    <t>青白江区景鸿路以东、绣川河以南</t>
    <phoneticPr fontId="6" type="noConversion"/>
  </si>
  <si>
    <t>商业</t>
  </si>
  <si>
    <t>批发零售用地</t>
  </si>
  <si>
    <t>批发零售用地</t>
    <phoneticPr fontId="6" type="noConversion"/>
  </si>
  <si>
    <t>商业</t>
    <phoneticPr fontId="6" type="noConversion"/>
  </si>
  <si>
    <t>川（2018）青白江区不动产权第0036051号</t>
    <phoneticPr fontId="6" type="noConversion"/>
  </si>
  <si>
    <t>不动产权证</t>
    <phoneticPr fontId="228" type="noConversion"/>
  </si>
  <si>
    <t>权利人</t>
    <phoneticPr fontId="228" type="noConversion"/>
  </si>
  <si>
    <t>坐落</t>
    <phoneticPr fontId="228" type="noConversion"/>
  </si>
  <si>
    <t>用途</t>
    <phoneticPr fontId="228" type="noConversion"/>
  </si>
  <si>
    <t>面积</t>
    <phoneticPr fontId="228" type="noConversion"/>
  </si>
  <si>
    <t>终止日期</t>
    <phoneticPr fontId="228" type="noConversion"/>
  </si>
  <si>
    <t>容积率</t>
    <phoneticPr fontId="228" type="noConversion"/>
  </si>
  <si>
    <t>川（2018）青白江区不动产权第0036051号</t>
    <phoneticPr fontId="228" type="noConversion"/>
  </si>
  <si>
    <t>成都集装箱物流投资开发有限公司</t>
    <phoneticPr fontId="228" type="noConversion"/>
  </si>
  <si>
    <t>批发零售用地</t>
    <phoneticPr fontId="228" type="noConversion"/>
  </si>
  <si>
    <t>青国用（2006）第02740号</t>
    <phoneticPr fontId="228" type="noConversion"/>
  </si>
  <si>
    <t>成都新开元城市建设投资有限公司</t>
    <phoneticPr fontId="228" type="noConversion"/>
  </si>
  <si>
    <t>清江中路</t>
    <phoneticPr fontId="228" type="noConversion"/>
  </si>
  <si>
    <t>办公</t>
    <phoneticPr fontId="228" type="noConversion"/>
  </si>
  <si>
    <t>青国用（2012）第5065号</t>
    <phoneticPr fontId="228" type="noConversion"/>
  </si>
  <si>
    <t>青白江区金华大道二段</t>
    <phoneticPr fontId="228" type="noConversion"/>
  </si>
  <si>
    <t>商业用地</t>
    <phoneticPr fontId="228" type="noConversion"/>
  </si>
  <si>
    <t>成青房权证监证字第0293918号</t>
    <phoneticPr fontId="228" type="noConversion"/>
  </si>
  <si>
    <t>青白江区华金大道二段317号1-6层</t>
    <phoneticPr fontId="228" type="noConversion"/>
  </si>
  <si>
    <t>区法院</t>
    <phoneticPr fontId="228" type="noConversion"/>
  </si>
  <si>
    <t>成青房权证监证字第0293911号</t>
    <phoneticPr fontId="228" type="noConversion"/>
  </si>
  <si>
    <t>青白江区清江中路181、1831-7层</t>
    <phoneticPr fontId="228" type="noConversion"/>
  </si>
  <si>
    <t>地上</t>
  </si>
  <si>
    <t>商业</t>
    <phoneticPr fontId="7" type="noConversion"/>
  </si>
  <si>
    <r>
      <t>1</t>
    </r>
    <r>
      <rPr>
        <sz val="10"/>
        <color indexed="8"/>
        <rFont val="宋体"/>
        <family val="3"/>
        <charset val="134"/>
      </rPr>
      <t>层</t>
    </r>
    <phoneticPr fontId="3" type="noConversion"/>
  </si>
  <si>
    <t>不动产收益法</t>
  </si>
  <si>
    <t>否</t>
  </si>
  <si>
    <t>土地（套用方法）</t>
  </si>
  <si>
    <t>按租金收入计税</t>
  </si>
  <si>
    <t>钢混</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</si>
  <si>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</si>
  <si>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</si>
  <si>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</si>
  <si>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</si>
  <si>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</si>
  <si>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</si>
  <si>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</si>
  <si>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</si>
  <si>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</si>
  <si>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</si>
  <si>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</si>
  <si>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</si>
  <si>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</si>
  <si>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</si>
  <si>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</si>
  <si>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</si>
  <si>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</si>
  <si>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</si>
  <si>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</si>
  <si>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青白江区祥虎大道以南、经五路以西</t>
  </si>
  <si>
    <t>成都市</t>
  </si>
  <si>
    <t>商业/办公用地</t>
  </si>
  <si>
    <t>挂牌</t>
  </si>
  <si>
    <t>QBJG2018-29(211)</t>
  </si>
  <si>
    <t>加油加气站用地</t>
  </si>
  <si>
    <t>结合方案合理性确定</t>
  </si>
  <si>
    <t>2019-04-03</t>
  </si>
  <si>
    <t>成公资土挂告(2019)10号</t>
  </si>
  <si>
    <t>成都中油能源有限公司</t>
  </si>
  <si>
    <t>零售商业用地40年</t>
  </si>
  <si>
    <t>1星</t>
  </si>
  <si>
    <t>青白江区向阳路以南、同旺路以西</t>
  </si>
  <si>
    <t>QBJG2018-37(211)号</t>
  </si>
  <si>
    <t>2星</t>
  </si>
  <si>
    <t>青白江区凤祥大道以北、凤凰西八路以西</t>
  </si>
  <si>
    <t>QBJG2018-27(211)号</t>
  </si>
  <si>
    <t>服务设施用地</t>
  </si>
  <si>
    <t>≤2.4</t>
  </si>
  <si>
    <t>2018-12-27</t>
  </si>
  <si>
    <t>成公资土挂告(2018)53号</t>
  </si>
  <si>
    <t>成都市青白江区国有资产投资经营有限公司</t>
  </si>
  <si>
    <t>商服用地40年</t>
  </si>
  <si>
    <t>3星</t>
  </si>
  <si>
    <t>青白江区同华大道以北、凤凰西一路以西</t>
  </si>
  <si>
    <t>QBJG2018-11(211)号</t>
  </si>
  <si>
    <t>商业用地</t>
  </si>
  <si>
    <t>≤1.5</t>
  </si>
  <si>
    <t>2018-12-24</t>
  </si>
  <si>
    <t>成公资土挂告(2018)51号</t>
  </si>
  <si>
    <t>成都新开元城市建设投资有限公司</t>
  </si>
  <si>
    <t>商业用地40年</t>
  </si>
  <si>
    <t>青白江区兴业大道以北、鸿泰大道以东</t>
  </si>
  <si>
    <t>QBJG2018-14(211)</t>
  </si>
  <si>
    <t>商务用地</t>
  </si>
  <si>
    <t>≤3.0</t>
  </si>
  <si>
    <t>2018-11-01</t>
  </si>
  <si>
    <t>成公资土挂告(2018)43号</t>
  </si>
  <si>
    <t>自然人</t>
  </si>
  <si>
    <t>青白江区凤凰西五路以东、凤祥大道以北(市储备中心合作地块)</t>
  </si>
  <si>
    <t>QBJG2018-9(211)</t>
  </si>
  <si>
    <t>其他商服用地40年</t>
  </si>
  <si>
    <t>青白江区鸿泰大道以东、兴业大道以北</t>
  </si>
  <si>
    <t>QBJG2018-7(211)</t>
  </si>
  <si>
    <t>2018-09-17</t>
  </si>
  <si>
    <t>成公资土挂告(2018)38号</t>
  </si>
  <si>
    <t>成都万贯五金机电配送市场有限责任公司</t>
  </si>
  <si>
    <t>青白江区通汇大道以东、五贤二路以北</t>
  </si>
  <si>
    <t>QBJG2018-8(211)</t>
  </si>
  <si>
    <t>青白江区凤凰大道以南、凤凰西六路以西</t>
  </si>
  <si>
    <t>QBJG2018-2(211)号</t>
  </si>
  <si>
    <t>≤4.0</t>
  </si>
  <si>
    <t>2018-06-14</t>
  </si>
  <si>
    <t>成公资土挂告(2018)23号</t>
  </si>
  <si>
    <t>成都市呈祥投资有限责任公司</t>
  </si>
  <si>
    <t>青白江区凤凰大道二段以南、凤凰西六路以东</t>
  </si>
  <si>
    <t>QBJG2018-1(211)号</t>
  </si>
  <si>
    <t>成都中核华泰科技发展有限公司</t>
  </si>
  <si>
    <t>青白江区清泉大道以西、北部物流园区纬二路以南</t>
  </si>
  <si>
    <t>QBJG2017-20(211)</t>
  </si>
  <si>
    <t>1.0≤容积率≤3.0</t>
  </si>
  <si>
    <t>2018-03-16</t>
  </si>
  <si>
    <t>成公资土挂告(2018)5号</t>
  </si>
  <si>
    <t>青白江区青白江大道以东、华金大道以南</t>
  </si>
  <si>
    <t>QBJG2017-16(211)</t>
  </si>
  <si>
    <t>2017-12-20</t>
  </si>
  <si>
    <t>成公资土挂告[2017]40号</t>
  </si>
  <si>
    <t>40年</t>
  </si>
  <si>
    <t>QBJG2017-18(211)</t>
  </si>
  <si>
    <t>≤2.0</t>
  </si>
  <si>
    <t>青白江区通汇大道以西、兴业大道以北</t>
  </si>
  <si>
    <t>QBJG2017-17(211)</t>
  </si>
  <si>
    <t>青白江区清泉大道以西、华金大道四段以南</t>
  </si>
  <si>
    <t>QBJG2017-19(211)</t>
  </si>
  <si>
    <t>青白江区弥牟镇白马村1组</t>
  </si>
  <si>
    <t>QBJ2015-91(211)</t>
  </si>
  <si>
    <t>≤3</t>
  </si>
  <si>
    <t>2016-06-27</t>
  </si>
  <si>
    <t>成公资土挂告[2016]13号-3</t>
  </si>
  <si>
    <t>成都淳天汽车维修有限责任公司</t>
  </si>
  <si>
    <t>青白江区祥福镇甘泉村集体、13、14组</t>
  </si>
  <si>
    <t>QBJ2015-62(214)</t>
  </si>
  <si>
    <t>其他商服用地</t>
  </si>
  <si>
    <t>≤2.5</t>
  </si>
  <si>
    <t>2016-04-29</t>
  </si>
  <si>
    <t>成公资土挂告[2016]9号-2</t>
  </si>
  <si>
    <t>成都市青白江祥安企业管理服务有限公司</t>
  </si>
  <si>
    <t>青白江区大石路以东、北干渠以南</t>
  </si>
  <si>
    <t>QBJ2015-76(211)</t>
  </si>
  <si>
    <t>2016-03-25</t>
  </si>
  <si>
    <t>成公资土挂告[2016]5号-3</t>
  </si>
  <si>
    <t>成都市西江石油制品有限公司</t>
  </si>
  <si>
    <t>青白江区城厢镇茶花社区七组</t>
  </si>
  <si>
    <t>QBJ2015-17</t>
  </si>
  <si>
    <t>2015-12-24</t>
  </si>
  <si>
    <t>成公资土挂告[2015]44号-5</t>
  </si>
  <si>
    <t>中国石油天然气股份有限公司四川销售成品油分公司</t>
  </si>
  <si>
    <t>青白江区北部物流建材配送中心东西干道以南、清泉大道以西</t>
  </si>
  <si>
    <t>QBJ2015-47</t>
  </si>
  <si>
    <t>≤6</t>
  </si>
  <si>
    <t>成公资土挂告[2015]44号-4</t>
  </si>
  <si>
    <t>成都中铁运龙物流有限公司</t>
  </si>
  <si>
    <t>青白江区新大石路以西、毗河以南</t>
  </si>
  <si>
    <t>QBJ2015-8</t>
  </si>
  <si>
    <t>2015-12-08</t>
  </si>
  <si>
    <t>四川人民日报[2015]22752号-5</t>
  </si>
  <si>
    <t>青白江区姚渡镇清泉大道二段1058号</t>
  </si>
  <si>
    <t>QBJ2015-27</t>
  </si>
  <si>
    <t>四川人民日报[2015]22752号-1</t>
  </si>
  <si>
    <t>瑞中石油(成都)有限公司</t>
  </si>
  <si>
    <t>青白江区城厢镇茶花社区1、8组</t>
  </si>
  <si>
    <t>QBJ2015-14(251)</t>
  </si>
  <si>
    <t>2015-11-03</t>
  </si>
  <si>
    <t>成公资土挂告[2015]35号</t>
  </si>
  <si>
    <t>四川大唐贵和农业开发有限公司</t>
  </si>
  <si>
    <t>商业40年</t>
  </si>
  <si>
    <t>青白江区同福村13、15组</t>
  </si>
  <si>
    <t>QBJ2015-2(251)</t>
  </si>
  <si>
    <t>2015-08-13</t>
  </si>
  <si>
    <t>成公资土挂告[2015]26号-4</t>
  </si>
  <si>
    <t>成都市融禾现代农业发展有限公司</t>
  </si>
  <si>
    <t>青白江区北部物流建材配送中心(东西干道以北、南北干道以东)</t>
  </si>
  <si>
    <t>QBJ2015-7(251)</t>
  </si>
  <si>
    <t>成公资土挂告[2015]26号-5</t>
  </si>
  <si>
    <t>成都金茂元泉房地产开发有限公司</t>
  </si>
  <si>
    <t>青白江区大件路以东、铁路北环线以南</t>
  </si>
  <si>
    <t>QBJ2015-19(251)</t>
  </si>
  <si>
    <t>2015-08-05</t>
  </si>
  <si>
    <t>成公资土挂告[2015]25号-3</t>
  </si>
  <si>
    <t>四川省华川银地投资有限公司</t>
  </si>
  <si>
    <t>青白江区青白江大道以西、四川建院以南</t>
  </si>
  <si>
    <t>QBJ2015-1(251)</t>
  </si>
  <si>
    <t>商服用地</t>
  </si>
  <si>
    <t>2015-05-22</t>
  </si>
  <si>
    <t>成公资土拍告(2015)16号-2</t>
  </si>
  <si>
    <t>成都大港置业有限公司</t>
  </si>
  <si>
    <t>50年</t>
  </si>
  <si>
    <t>青白江区清泉大道以西、北部物流建材配送中心东西干道以南</t>
  </si>
  <si>
    <t>QBJ2014-02(251)</t>
  </si>
  <si>
    <t>≤6.0</t>
  </si>
  <si>
    <t>2015-02-09</t>
  </si>
  <si>
    <t>成公资土挂告(2015)1号-3</t>
  </si>
  <si>
    <t>青白江区北部物流建材中心片区东西干道北侧、清泉大道西侧(城厢镇马鞍社区3、4、9组)</t>
  </si>
  <si>
    <t>QBJ08(211):2014-137</t>
  </si>
  <si>
    <t>1.5-3</t>
  </si>
  <si>
    <t>2014-12-17</t>
  </si>
  <si>
    <t>成公资土挂告(2014)45号-3</t>
  </si>
  <si>
    <t>0星</t>
  </si>
  <si>
    <t>青白江区北部物流建材配送中心内(东西干道以北、南北干道以东,青白江区大同镇五里村1、2、3组)</t>
  </si>
  <si>
    <t>QBJ07(211):2014-125</t>
  </si>
  <si>
    <t>2014-11-20</t>
  </si>
  <si>
    <t>成公资土挂告(2014)40号-3</t>
  </si>
  <si>
    <t>青白江区青白江大道以东、景峰变电站以南(青白江区大同镇新峰村3、7组,五里村6组)</t>
  </si>
  <si>
    <t>QBJ05(211):2014-106</t>
  </si>
  <si>
    <t>1.5≤容积率≤3.0</t>
  </si>
  <si>
    <t>2014-10-21</t>
  </si>
  <si>
    <t>成公资土挂告(2014)34号-1</t>
  </si>
  <si>
    <t>四川邦邦置业有限公司</t>
  </si>
  <si>
    <t>青白江区青白江大道以东、唐巴路以南(青白江区大同镇新峰村6、7组,五里村4组)</t>
  </si>
  <si>
    <t>QBJ06(211):2014-107</t>
  </si>
  <si>
    <t>成公资土挂告(2014)34号-2</t>
  </si>
  <si>
    <t>青白江区万桂路以南、建港路以西(青白江区祥福镇民强村11、12组)</t>
  </si>
  <si>
    <t>QBJ03(211):2014-086</t>
  </si>
  <si>
    <t>1.0＜容积率≤3.0</t>
  </si>
  <si>
    <t>2014-08-22</t>
  </si>
  <si>
    <t>成公资土挂告(2014)26号-2</t>
  </si>
  <si>
    <t>成都市乐城乐家市场经营管理有限责任公司</t>
  </si>
  <si>
    <t>青白江区城厢镇马鞍社区2、4、6组</t>
  </si>
  <si>
    <t>QBJ02(211):2014-081</t>
  </si>
  <si>
    <t>2014-08-05</t>
  </si>
  <si>
    <t>成公资土挂告(2014)23号-2</t>
  </si>
  <si>
    <t>青白江区大件路以东、铁路北环线以南(弥牟镇三星村18、19组)</t>
  </si>
  <si>
    <t>QBJ2014-01(251)</t>
  </si>
  <si>
    <t>1-3</t>
  </si>
  <si>
    <t>2014-02-02</t>
  </si>
  <si>
    <t>成公资土挂告(2014)51号-3</t>
  </si>
  <si>
    <t>成都佳飞投资有限公司</t>
  </si>
  <si>
    <t>青白江区载货汽车园区内(老川陕路以西)</t>
  </si>
  <si>
    <t>QBJ06(214):2013-231</t>
  </si>
  <si>
    <t>按照加油站相关规范要求</t>
  </si>
  <si>
    <t>2013-11-04</t>
  </si>
  <si>
    <t>成公资土挂告(2013)21号-5</t>
  </si>
  <si>
    <t>中国石油天然气股份有限公司四川成都销售分公司</t>
  </si>
  <si>
    <t>青白江区同华大道以北、实验小学以东</t>
  </si>
  <si>
    <t>拍卖</t>
  </si>
  <si>
    <t>QBJ01(211):2013-28</t>
  </si>
  <si>
    <t>1.0＜容积率≤1.5</t>
  </si>
  <si>
    <t>2013-02-20</t>
  </si>
  <si>
    <t>成国土拍告(2013)3号-2</t>
  </si>
  <si>
    <t>成都市风云置业有限公司</t>
  </si>
  <si>
    <t>青白江区同华大道以北、临时客运站以东</t>
  </si>
  <si>
    <t>QBJ09(211):2012-241</t>
  </si>
  <si>
    <t>2012-12-14</t>
  </si>
  <si>
    <t>成国土拍告[2012]42号-1</t>
  </si>
  <si>
    <t>青白江区同华大道以北、栖凤居以西</t>
  </si>
  <si>
    <t>QBJ08(211):2012-240</t>
  </si>
  <si>
    <t>成国土拍告[2012]42号-2</t>
  </si>
  <si>
    <t>青白江区同华大道以北、川化中学以东</t>
  </si>
  <si>
    <t>QBJ06(211):2012-166</t>
  </si>
  <si>
    <t>2012-10-19</t>
  </si>
  <si>
    <t>四川顺天坊房地产开发有限公司</t>
  </si>
  <si>
    <t>青白江区凤凰大道以北、凤凰西二路北延线以西</t>
  </si>
  <si>
    <t>QBJ03(211/252):2012-70</t>
  </si>
  <si>
    <t>大于1并且小于或等于5</t>
  </si>
  <si>
    <t>2012-07-10</t>
  </si>
  <si>
    <t>成都青白江蓝光和骏置业有限公司</t>
  </si>
  <si>
    <t>青白江区华金大道以南、大弯北路以东地块</t>
  </si>
  <si>
    <t>青白江区华金大道以南、大弯北路以东</t>
  </si>
  <si>
    <t>QBJ02(211/212/252):2011-119</t>
  </si>
  <si>
    <t>商业金融业用地(兼容居住用地≤45%)</t>
  </si>
  <si>
    <t>1.0＜容积率≤4.0</t>
  </si>
  <si>
    <t>2011-12-05</t>
  </si>
  <si>
    <t>四川金源实业有限责任公司</t>
  </si>
  <si>
    <t>商业40年、住宅70年</t>
  </si>
  <si>
    <t>青白江区同华大道(水厂段)以东、华金大道二段以北QBJ03(211):2010-169地块</t>
  </si>
  <si>
    <t>青白江区同华大道(水厂段)以东、华金大道二段以北</t>
  </si>
  <si>
    <t>QBJ03(211):2010-169</t>
  </si>
  <si>
    <t>行政办公用地</t>
  </si>
  <si>
    <t>2011-01-31</t>
  </si>
  <si>
    <t>攀钢集团成都钢钒有限公司</t>
  </si>
  <si>
    <t>青白江大道以西、长流河以北地块</t>
  </si>
  <si>
    <t>青白江大道以西、长流河以北</t>
  </si>
  <si>
    <t>QG2010—29号</t>
  </si>
  <si>
    <t>成都泛嘉鸿和能源投资有限责任公司</t>
  </si>
  <si>
    <t>青白江区同华大道新河六组处</t>
  </si>
  <si>
    <t>QP2009—8</t>
  </si>
  <si>
    <t>2009-12-31</t>
  </si>
  <si>
    <t>成都英祥房地产开发有限公司</t>
  </si>
  <si>
    <t>40年、70年</t>
  </si>
  <si>
    <t>成绵路连接线以东</t>
  </si>
  <si>
    <t>QP2007-14</t>
  </si>
  <si>
    <t>≤2.89</t>
  </si>
  <si>
    <t>2007-08-08</t>
  </si>
  <si>
    <t>成都宏益房地产开发有限公司</t>
  </si>
  <si>
    <t>一般</t>
  </si>
  <si>
    <t>较差</t>
  </si>
  <si>
    <t>较好</t>
  </si>
  <si>
    <t>六通</t>
  </si>
  <si>
    <t>较规则</t>
  </si>
  <si>
    <t>较规则</t>
    <phoneticPr fontId="26" type="noConversion"/>
  </si>
  <si>
    <t>六通</t>
    <phoneticPr fontId="26" type="noConversion"/>
  </si>
  <si>
    <t>较好</t>
    <phoneticPr fontId="26" type="noConversion"/>
  </si>
  <si>
    <t>楼面地价</t>
  </si>
  <si>
    <t>比较法-住宅、综合</t>
  </si>
  <si>
    <t>剩余法-待开发</t>
  </si>
  <si>
    <t>四川省成都市</t>
    <phoneticPr fontId="6" type="noConversion"/>
  </si>
  <si>
    <t>青白江区景鸿路以东、绣川河以南</t>
    <phoneticPr fontId="228" type="noConversion"/>
  </si>
  <si>
    <t>成都新开元城市建设投资有限公司</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</si>
</sst>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华文细黑"/>
      <family val="3"/>
      <charset val="134"/>
    </font>
    <font>
      <sz val="10"/>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274" fillId="0" borderId="19" xfId="0" applyFont="1" applyBorder="1" applyAlignment="1">
      <alignment horizontal="left" vertical="center" wrapText="1"/>
    </xf>
    <xf numFmtId="0" fontId="274" fillId="0" borderId="0" xfId="0" applyFont="1" applyAlignment="1">
      <alignment horizontal="left" vertical="center" wrapText="1"/>
    </xf>
    <xf numFmtId="14" fontId="274" fillId="0" borderId="0" xfId="0" applyNumberFormat="1" applyFont="1" applyAlignment="1">
      <alignment horizontal="left" vertical="center" wrapText="1"/>
    </xf>
    <xf numFmtId="0" fontId="274" fillId="17" borderId="0" xfId="0" applyFont="1" applyFill="1" applyAlignment="1">
      <alignment horizontal="left" vertical="center" wrapText="1"/>
    </xf>
    <xf numFmtId="14" fontId="274" fillId="17" borderId="0" xfId="0" applyNumberFormat="1" applyFont="1" applyFill="1" applyAlignment="1">
      <alignment horizontal="left" vertical="center" wrapText="1"/>
    </xf>
    <xf numFmtId="0" fontId="275" fillId="0" borderId="0" xfId="0" applyFont="1" applyAlignment="1"/>
    <xf numFmtId="0" fontId="275" fillId="5" borderId="0" xfId="0" applyFont="1" applyFill="1" applyAlignment="1"/>
    <xf numFmtId="0" fontId="0" fillId="5" borderId="0" xfId="0" applyFill="1">
      <alignment vertical="center"/>
    </xf>
    <xf numFmtId="0" fontId="275" fillId="7" borderId="0" xfId="0" applyFont="1" applyFill="1" applyAlignment="1"/>
    <xf numFmtId="0" fontId="0" fillId="7" borderId="0" xfId="0" applyFill="1">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5" fillId="18" borderId="16" xfId="0" applyFont="1" applyFill="1" applyBorder="1" applyAlignment="1" applyProtection="1">
      <alignment horizontal="left" vertical="center" wrapText="1"/>
    </xf>
    <xf numFmtId="0" fontId="99" fillId="18"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26</xdr:row>
      <xdr:rowOff>0</xdr:rowOff>
    </xdr:from>
    <xdr:to>
      <xdr:col>8</xdr:col>
      <xdr:colOff>284953</xdr:colOff>
      <xdr:row>38</xdr:row>
      <xdr:rowOff>94981</xdr:rowOff>
    </xdr:to>
    <xdr:pic>
      <xdr:nvPicPr>
        <xdr:cNvPr id="2" name="图片 1"/>
        <xdr:cNvPicPr>
          <a:picLocks noChangeAspect="1"/>
        </xdr:cNvPicPr>
      </xdr:nvPicPr>
      <xdr:blipFill>
        <a:blip xmlns:r="http://schemas.openxmlformats.org/officeDocument/2006/relationships" r:embed="rId1"/>
        <a:stretch>
          <a:fillRect/>
        </a:stretch>
      </xdr:blipFill>
      <xdr:spPr>
        <a:xfrm>
          <a:off x="2743200" y="8829675"/>
          <a:ext cx="6380953" cy="2152381"/>
        </a:xfrm>
        <a:prstGeom prst="rect">
          <a:avLst/>
        </a:prstGeom>
      </xdr:spPr>
    </xdr:pic>
    <xdr:clientData/>
  </xdr:twoCellAnchor>
  <xdr:twoCellAnchor editAs="oneCell">
    <xdr:from>
      <xdr:col>4</xdr:col>
      <xdr:colOff>0</xdr:colOff>
      <xdr:row>39</xdr:row>
      <xdr:rowOff>0</xdr:rowOff>
    </xdr:from>
    <xdr:to>
      <xdr:col>8</xdr:col>
      <xdr:colOff>1418286</xdr:colOff>
      <xdr:row>49</xdr:row>
      <xdr:rowOff>66453</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9201150"/>
          <a:ext cx="7514286" cy="1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四川省成都市青白江区景鸿路以东、绣川河以南出让国有建设用地使用权抵押价格预评估</v>
      </c>
      <c r="AX2" s="2849"/>
      <c r="AZ2" s="2849"/>
      <c r="BA2" s="2850"/>
      <c r="BC2" s="2850"/>
    </row>
    <row r="3" spans="1:55" s="2851" customFormat="1">
      <c r="A3" s="2830" t="s">
        <v>2661</v>
      </c>
      <c r="B3" s="2833" t="str">
        <f>'预评函-封皮'!B40</f>
        <v>国民信托有限公司</v>
      </c>
    </row>
    <row r="4" spans="1:55" s="2832" customFormat="1">
      <c r="A4" s="2830" t="s">
        <v>2662</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受贵公司委托，我公司对四川省成都市青白江区景鸿路以东、绣川河以南出让国有建设用地使用权抵押价格进行了预评估。</v>
      </c>
      <c r="AM6" s="2855"/>
    </row>
    <row r="7" spans="1:55" s="2829" customFormat="1">
      <c r="A7" s="2830" t="s">
        <v>2657</v>
      </c>
      <c r="B7" s="2831" t="str">
        <f>'预评函-1'!A6</f>
        <v>估价对象为成都集装箱物流投资开发有限公司使用的、位于四川省成都市青白江区景鸿路以东、绣川河以南出让国有建设用地使用权。根据《国有土地使用证》[]，估价对象（分摊）出让国有建设用地使用权面积为43369.49平方米。根据《建设工程规划许可证》[]、《出让合同》[]，估价对象规划建筑面积为86738.98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成都集装箱物流投资开发有限公司拟使用四川省成都市青白江区景鸿路以东、绣川河以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29" customFormat="1">
      <c r="A10" s="2830" t="s">
        <v>2659</v>
      </c>
      <c r="B10" s="2831" t="str">
        <f>'预评函-1'!A11</f>
        <v>2019年5月14日（评估专业人员勘察现场之日）</v>
      </c>
    </row>
    <row r="11" spans="1:55" s="2829" customFormat="1">
      <c r="A11" s="2830" t="s">
        <v>2665</v>
      </c>
      <c r="B11" s="2831" t="str">
        <f>'预评函-1'!A14</f>
        <v>根据川（2018）青白江区不动产权第0036051号，本次评估估价对象证载（地类）用途为批发零售用地。</v>
      </c>
    </row>
    <row r="12" spans="1:55" s="2829" customFormat="1">
      <c r="A12" s="2830" t="s">
        <v>2666</v>
      </c>
      <c r="B12" s="2831" t="str">
        <f>'预评函-1'!A15</f>
        <v>本次评估设定用途即为证载用途商业。</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根据《国有土地使用证》[]，估价对象（分摊）出让国有建设用地使用权面积为43369.49平方米。根据《建设工程规划许可证》[]、《出让合同》[]，估价对象规划建筑面积为86738.98平方米。</v>
      </c>
    </row>
    <row r="16" spans="1:55" s="2829" customFormat="1">
      <c r="A16" s="2830" t="s">
        <v>2669</v>
      </c>
      <c r="B16" s="2831" t="str">
        <f>'预评函-1'!A22</f>
        <v>本次估价对象为出让国有建设用地使用权，依据川（2018）青白江区不动产权第0036051号、，土地终止日期为商业2058年1月28日。截至估价期日，出让国有建设用地使用权剩余土地使用年限为。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5月14日，在规划利用条件下、设定土地开发程度为红线外“七通”、宗地内场地，设定用途为商业，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2673</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2674</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2675</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估价期日：2019年5月14日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t="str">
        <f>'预评函-2'!E5</f>
        <v>批发零售用地</v>
      </c>
      <c r="AV32" s="2835"/>
    </row>
    <row r="33" spans="1:2">
      <c r="A33" s="2830" t="s">
        <v>2713</v>
      </c>
      <c r="B33" s="2831">
        <f>'预评函-2'!F5</f>
        <v>258</v>
      </c>
    </row>
    <row r="34" spans="1:2">
      <c r="A34" s="2830" t="s">
        <v>2714</v>
      </c>
      <c r="B34" s="2831" t="str">
        <f>'预评函-2'!G5</f>
        <v>商业</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43369.49</v>
      </c>
    </row>
    <row r="44" spans="1:2">
      <c r="A44" s="2830" t="s">
        <v>2740</v>
      </c>
      <c r="B44" s="2831" t="str">
        <f>'预评函-2'!O3</f>
        <v>规划建筑面积/㎡</v>
      </c>
    </row>
    <row r="45" spans="1:2">
      <c r="A45" s="2830" t="s">
        <v>2722</v>
      </c>
      <c r="B45" s="2831">
        <f>'预评函-2'!O5</f>
        <v>86738.98</v>
      </c>
    </row>
    <row r="46" spans="1:2">
      <c r="A46" s="2830" t="s">
        <v>2723</v>
      </c>
      <c r="B46" s="2831">
        <f ca="1">'预评函-2'!P5</f>
        <v>6185</v>
      </c>
    </row>
    <row r="47" spans="1:2">
      <c r="A47" s="2830" t="s">
        <v>2724</v>
      </c>
      <c r="B47" s="2831">
        <f ca="1">'预评函-2'!Q5</f>
        <v>3092</v>
      </c>
    </row>
    <row r="48" spans="1:2">
      <c r="A48" s="2830" t="s">
        <v>2725</v>
      </c>
      <c r="B48" s="2831">
        <f ca="1">'预评函-2'!R5</f>
        <v>26824</v>
      </c>
    </row>
    <row r="49" spans="1:2">
      <c r="A49" s="2830" t="s">
        <v>2741</v>
      </c>
      <c r="B49" s="2831" t="str">
        <f>'预评函-2'!A6</f>
        <v>抵押价格</v>
      </c>
    </row>
    <row r="50" spans="1:2">
      <c r="A50" s="2830" t="s">
        <v>2726</v>
      </c>
      <c r="B50" s="2831">
        <f ca="1">'预评函-2'!R6</f>
        <v>26824</v>
      </c>
    </row>
    <row r="51" spans="1:2">
      <c r="A51" s="2830" t="s">
        <v>2742</v>
      </c>
      <c r="B51" s="2831" t="str">
        <f>'预评函-2'!A7</f>
        <v>——</v>
      </c>
    </row>
    <row r="52" spans="1:2">
      <c r="A52" s="2830" t="s">
        <v>2727</v>
      </c>
      <c r="B52" s="2831" t="str">
        <f>'预评函-2'!R7</f>
        <v>——</v>
      </c>
    </row>
    <row r="53" spans="1:2">
      <c r="A53" s="2830" t="s">
        <v>2743</v>
      </c>
      <c r="B53" s="2831">
        <f>'预评函-2'!A8</f>
        <v>0</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2.本《评估意见函》仅供金融机构进行内部审核使用，不做其他目的之用。</v>
      </c>
    </row>
    <row r="60" spans="1:2">
      <c r="A60" s="2830" t="s">
        <v>2682</v>
      </c>
      <c r="B60" s="2831" t="str">
        <f>'预评函-3'!A9</f>
        <v>3.抵押双方在办理抵押登记手续时，应使用本公司出具的正式《土地估价报告》，特提请报告使用者注意。</v>
      </c>
    </row>
    <row r="61" spans="1:2">
      <c r="A61" s="2830" t="s">
        <v>2684</v>
      </c>
      <c r="B61" s="2831" t="str">
        <f>'预评函-3'!A10</f>
        <v>4.估价师所知悉的法定优先受偿款情况为：</v>
      </c>
    </row>
    <row r="62" spans="1:2">
      <c r="A62" s="2830" t="s">
        <v>2683</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综上，本次评估不存在估价师知悉的法定优先受偿款</v>
      </c>
    </row>
    <row r="66" spans="1:2">
      <c r="A66" s="2830" t="s">
        <v>2688</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2689</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王鹏</v>
      </c>
    </row>
    <row r="70" spans="1:2">
      <c r="A70" s="2830" t="s">
        <v>2690</v>
      </c>
      <c r="B70" s="2837">
        <f ca="1">'预评函-3'!B20</f>
        <v>2002110030</v>
      </c>
    </row>
    <row r="71" spans="1:2">
      <c r="A71" s="2830" t="s">
        <v>2691</v>
      </c>
      <c r="B71" s="2831" t="str">
        <f>'预评函-3'!A21</f>
        <v>郑燚</v>
      </c>
    </row>
    <row r="72" spans="1:2" s="2845" customFormat="1" ht="15" thickBot="1">
      <c r="A72" s="2852" t="s">
        <v>2691</v>
      </c>
      <c r="B72" s="2858">
        <f ca="1">'预评函-3'!B21</f>
        <v>2014110011</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2787</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8" sqref="J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6" t="str">
        <f>IF(B10="北京市","北京市",C10)&amp;F10&amp;B16&amp;"国有建设用地使用权"&amp;B9&amp;"预评估"</f>
        <v>四川省成都市青白江区景鸿路以东、绣川河以南出让国有建设用地使用权抵押价格预评估</v>
      </c>
      <c r="C1" s="3227"/>
      <c r="D1" s="3227"/>
      <c r="E1" s="3227"/>
      <c r="F1" s="3227"/>
      <c r="G1" s="3227"/>
      <c r="H1" s="3227"/>
      <c r="I1" s="3228"/>
      <c r="J1" s="1678"/>
      <c r="K1" s="2416" t="str">
        <f>IF(B10="北京市","北京市",C10)&amp;F10&amp;B16&amp;"国有建设用地使用权"&amp;B9</f>
        <v>四川省成都市青白江区景鸿路以东、绣川河以南出让国有建设用地使用权抵押价格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6" t="str">
        <f>IF(B10="北京市","北京市",C10)&amp;F10&amp;B16&amp;"国有建设用地使用权"</f>
        <v>四川省成都市青白江区景鸿路以东、绣川河以南出让国有建设用地使用权</v>
      </c>
      <c r="L2" s="1707"/>
      <c r="M2" s="1707"/>
      <c r="N2" s="1678"/>
      <c r="O2" s="1679"/>
      <c r="P2" s="1678"/>
      <c r="Q2" s="1678"/>
      <c r="R2" s="1678"/>
      <c r="S2" s="1678"/>
      <c r="T2" s="1678"/>
      <c r="U2" s="1678"/>
    </row>
    <row r="3" spans="1:21">
      <c r="A3" s="1645" t="s">
        <v>1939</v>
      </c>
      <c r="B3" s="1646">
        <v>43599</v>
      </c>
      <c r="C3" s="1647" t="s">
        <v>1995</v>
      </c>
      <c r="D3" s="1646">
        <f>B3</f>
        <v>43599</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2993</v>
      </c>
      <c r="C4" s="1830">
        <f ca="1">SUMIF(土地估价师,B4,估价师及机构信息!E3:E24)</f>
        <v>2002110030</v>
      </c>
      <c r="D4" s="1827" t="s">
        <v>2994</v>
      </c>
      <c r="E4" s="1830">
        <f ca="1">SUMIF(土地估价师,D4,估价师及机构信息!E3:E24)</f>
        <v>2014110011</v>
      </c>
      <c r="F4" s="1827" t="s">
        <v>952</v>
      </c>
      <c r="G4" s="1830">
        <f>SUMIF(土地估价师,F4,估价师及机构信息!E3:E24)</f>
        <v>0</v>
      </c>
      <c r="H4" s="1827" t="s">
        <v>952</v>
      </c>
      <c r="I4" s="1830">
        <f>SUMIF(土地估价师,H4,估价师及机构信息!E3:E24)</f>
        <v>0</v>
      </c>
      <c r="J4" s="1678"/>
      <c r="K4" s="2416" t="str">
        <f>IF(AND(F4="——",H4="——"),B4&amp;"、"&amp;D4,IF(AND(F4&lt;&gt;"——",H4="——"),B4&amp;"、"&amp;D4&amp;"、"&amp;F4,B4&amp;"、"&amp;D4&amp;"、"&amp;F4&amp;"、"&amp;H4))</f>
        <v>王鹏、郑燚</v>
      </c>
      <c r="L4" s="1707"/>
      <c r="M4" s="1707"/>
      <c r="N4" s="1678"/>
      <c r="O4" s="1679"/>
      <c r="P4" s="1678"/>
      <c r="Q4" s="1678"/>
      <c r="R4" s="1678"/>
      <c r="S4" s="1678"/>
      <c r="T4" s="1678"/>
      <c r="U4" s="1678"/>
    </row>
    <row r="5" spans="1:21" ht="15"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t="s">
        <v>2995</v>
      </c>
      <c r="C6" s="1745"/>
      <c r="D6" s="1652"/>
      <c r="E6" s="1678"/>
      <c r="F6" s="1678"/>
      <c r="G6" s="1678"/>
      <c r="H6" s="1644"/>
      <c r="I6" s="1679"/>
      <c r="J6" s="1678"/>
      <c r="K6" s="3004" t="str">
        <f>IF(COUNTIF(B6,"*上海银行*"),"上海银行","")</f>
        <v/>
      </c>
      <c r="L6" s="1707"/>
      <c r="M6" s="1707"/>
      <c r="N6" s="1678"/>
      <c r="O6" s="1679"/>
      <c r="P6" s="1678"/>
      <c r="Q6" s="1678"/>
      <c r="R6" s="1678"/>
      <c r="S6" s="1678"/>
      <c r="T6" s="1678"/>
      <c r="U6" s="1678"/>
    </row>
    <row r="7" spans="1:21">
      <c r="A7" s="1653" t="s">
        <v>2707</v>
      </c>
      <c r="B7" s="1773" t="s">
        <v>2997</v>
      </c>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32" t="s">
        <v>1944</v>
      </c>
      <c r="E8" s="1828" t="s">
        <v>2999</v>
      </c>
      <c r="F8" s="1656"/>
      <c r="G8" s="1644"/>
      <c r="H8" s="1644"/>
      <c r="I8" s="1691"/>
      <c r="J8" s="1678"/>
      <c r="K8" s="1758"/>
      <c r="L8" s="1707"/>
      <c r="M8" s="1707"/>
      <c r="N8" s="1678"/>
      <c r="O8" s="1679"/>
      <c r="P8" s="1678"/>
      <c r="Q8" s="1678"/>
      <c r="R8" s="1678"/>
      <c r="S8" s="1678"/>
      <c r="T8" s="1678"/>
      <c r="U8" s="1678"/>
    </row>
    <row r="9" spans="1:21" ht="15" thickBot="1">
      <c r="A9" s="1657" t="s">
        <v>1943</v>
      </c>
      <c r="B9" s="1658" t="s">
        <v>2999</v>
      </c>
      <c r="C9" s="1659"/>
      <c r="D9" s="3233"/>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3000</v>
      </c>
      <c r="C10" s="1660" t="s">
        <v>3303</v>
      </c>
      <c r="D10" s="1651"/>
      <c r="E10" s="1661" t="s">
        <v>1946</v>
      </c>
      <c r="F10" s="1662" t="s">
        <v>3003</v>
      </c>
      <c r="G10" s="1729"/>
      <c r="H10" s="1730"/>
      <c r="I10" s="1651"/>
      <c r="J10" s="1678"/>
      <c r="K10" s="1758"/>
      <c r="L10" s="1707"/>
      <c r="M10" s="1707"/>
      <c r="N10" s="1678"/>
      <c r="O10" s="1679"/>
      <c r="P10" s="1678"/>
      <c r="Q10" s="1678"/>
      <c r="R10" s="1678"/>
      <c r="S10" s="1678"/>
      <c r="T10" s="1678"/>
      <c r="U10" s="1678"/>
    </row>
    <row r="11" spans="1:21" ht="42.75">
      <c r="A11" s="1681" t="s">
        <v>2000</v>
      </c>
      <c r="B11" s="1682" t="s">
        <v>3001</v>
      </c>
      <c r="C11" s="1663" t="s">
        <v>2997</v>
      </c>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9" t="s">
        <v>3006</v>
      </c>
      <c r="C12" s="3230"/>
      <c r="D12" s="3231"/>
      <c r="E12" s="1683" t="s">
        <v>2061</v>
      </c>
      <c r="F12" s="3247" t="s">
        <v>3008</v>
      </c>
      <c r="G12" s="3248"/>
      <c r="H12" s="3248"/>
      <c r="I12" s="3249"/>
      <c r="J12" s="1678"/>
      <c r="K12" s="1758"/>
      <c r="L12" s="1707"/>
      <c r="M12" s="1707"/>
      <c r="N12" s="1678"/>
      <c r="O12" s="1679"/>
      <c r="P12" s="1678"/>
      <c r="Q12" s="1678"/>
      <c r="R12" s="1678"/>
      <c r="S12" s="1678"/>
      <c r="T12" s="1678"/>
      <c r="U12" s="1678"/>
    </row>
    <row r="13" spans="1:21">
      <c r="A13" s="1671" t="s">
        <v>2059</v>
      </c>
      <c r="B13" s="3229" t="s">
        <v>3007</v>
      </c>
      <c r="C13" s="3230"/>
      <c r="D13" s="3231"/>
      <c r="E13" s="1683" t="s">
        <v>2061</v>
      </c>
      <c r="F13" s="3247"/>
      <c r="G13" s="3248"/>
      <c r="H13" s="3248"/>
      <c r="I13" s="324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6"/>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2989</v>
      </c>
      <c r="C16" s="1683" t="s">
        <v>1948</v>
      </c>
      <c r="D16" s="2607" t="s">
        <v>1949</v>
      </c>
      <c r="E16" s="1706" t="s">
        <v>3004</v>
      </c>
      <c r="F16" s="1706"/>
      <c r="G16" s="1706"/>
      <c r="H16" s="1706"/>
      <c r="I16" s="1670" t="s">
        <v>1954</v>
      </c>
      <c r="J16" s="1678"/>
      <c r="K16" s="2417" t="str">
        <f>IF(D17="","",D16&amp;TEXT(D17,"yyyy年m月d日;;"))</f>
        <v/>
      </c>
      <c r="L16" s="1683" t="str">
        <f>IF(OR(K16="",M16=""),"","、")</f>
        <v/>
      </c>
      <c r="M16" s="2417" t="str">
        <f>IF(E17="","",E16&amp;TEXT(E17,"yyyy年m月d日;;"))</f>
        <v>商业2058年1月28日</v>
      </c>
      <c r="N16" s="1683" t="str">
        <f>IF(OR(M16="",O16=""),"","、")</f>
        <v/>
      </c>
      <c r="O16" s="2417" t="str">
        <f>IF(F17="","",F16&amp;TEXT(F17,"yyyy年m月d日;;"))</f>
        <v/>
      </c>
      <c r="P16" s="1683" t="str">
        <f>IF(OR(O16="",Q16=""),"","、")</f>
        <v/>
      </c>
      <c r="Q16" s="2417" t="str">
        <f>IF(G17="","",G16&amp;TEXT(G17,"yyyy年m月d日;;"))</f>
        <v/>
      </c>
      <c r="R16" s="1683" t="str">
        <f>IF(OR(Q16="",S16=""),"","、")</f>
        <v/>
      </c>
      <c r="S16" s="2417" t="str">
        <f>IF(H17="","",H16&amp;TEXT(H17,"yyyy年m月d日;;"))</f>
        <v/>
      </c>
      <c r="T16" s="1683" t="str">
        <f>IF(OR(S16="",U16=""),"","、")</f>
        <v/>
      </c>
      <c r="U16" s="2417" t="str">
        <f>IF(I17="","",I16&amp;TEXT(I17,"yyyy年m月d日;;"))</f>
        <v/>
      </c>
    </row>
    <row r="17" spans="1:21">
      <c r="A17" s="1747"/>
      <c r="B17" s="1666"/>
      <c r="C17" s="1667" t="s">
        <v>1955</v>
      </c>
      <c r="D17" s="1684"/>
      <c r="E17" s="1684">
        <v>57738</v>
      </c>
      <c r="F17" s="1684"/>
      <c r="G17" s="1684"/>
      <c r="H17" s="1684"/>
      <c r="I17" s="1684"/>
      <c r="J17" s="1678"/>
      <c r="K17" s="2416" t="str">
        <f>CONCATENATE(K16,L16,M16,N16,O16,P16,Q16,R16,S16,T16,,U16)</f>
        <v>商业2058年1月28日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38.729999999999997</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4"/>
      <c r="E20" s="3245"/>
      <c r="F20" s="3245"/>
      <c r="G20" s="3245"/>
      <c r="H20" s="3245"/>
      <c r="I20" s="3246"/>
      <c r="J20" s="1678"/>
      <c r="K20" s="1758"/>
      <c r="L20" s="1707"/>
      <c r="M20" s="1707"/>
      <c r="N20" s="1678"/>
      <c r="O20" s="1679"/>
      <c r="P20" s="1678"/>
      <c r="Q20" s="1678"/>
      <c r="R20" s="1678"/>
      <c r="S20" s="1678"/>
      <c r="T20" s="1678"/>
      <c r="U20" s="1678"/>
    </row>
    <row r="21" spans="1:21">
      <c r="A21" s="1747" t="s">
        <v>1958</v>
      </c>
      <c r="B21" s="1748" t="s">
        <v>1959</v>
      </c>
      <c r="C21" s="1743">
        <f>'数据-汇总表'!E3</f>
        <v>86738.98</v>
      </c>
      <c r="D21" s="1744" t="s">
        <v>1960</v>
      </c>
      <c r="E21" s="3234" t="s">
        <v>1998</v>
      </c>
      <c r="F21" s="3235"/>
      <c r="G21" s="3235"/>
      <c r="H21" s="3235"/>
      <c r="I21" s="3236"/>
      <c r="J21" s="1678"/>
      <c r="K21" s="1758"/>
      <c r="L21" s="1707"/>
      <c r="M21" s="1707"/>
      <c r="N21" s="1678"/>
      <c r="O21" s="1679"/>
      <c r="P21" s="1678"/>
      <c r="Q21" s="1678"/>
      <c r="R21" s="1678"/>
      <c r="S21" s="1678"/>
      <c r="T21" s="1678"/>
      <c r="U21" s="1678"/>
    </row>
    <row r="22" spans="1:21">
      <c r="A22" s="3094" t="s">
        <v>952</v>
      </c>
      <c r="B22" s="1645" t="s">
        <v>1961</v>
      </c>
      <c r="C22" s="1670">
        <f>'数据-汇总表'!D3</f>
        <v>43369.49</v>
      </c>
      <c r="D22" s="1671" t="s">
        <v>1960</v>
      </c>
      <c r="E22" s="3234" t="s">
        <v>2889</v>
      </c>
      <c r="F22" s="3235"/>
      <c r="G22" s="3235"/>
      <c r="H22" s="3235"/>
      <c r="I22" s="3236"/>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7" t="s">
        <v>1966</v>
      </c>
      <c r="C24" s="3238"/>
      <c r="D24" s="3239" t="s">
        <v>1967</v>
      </c>
      <c r="E24" s="3240"/>
      <c r="F24" s="1692" t="s">
        <v>1968</v>
      </c>
      <c r="G24" s="1678"/>
      <c r="H24" s="1678"/>
      <c r="I24" s="1691"/>
      <c r="J24" s="1678"/>
      <c r="K24" s="3225"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2"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3"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3"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4"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2" t="s">
        <v>2001</v>
      </c>
      <c r="B31" s="1748" t="s">
        <v>2002</v>
      </c>
      <c r="C31" s="3250"/>
      <c r="D31" s="3251"/>
      <c r="E31" s="1678"/>
      <c r="F31" s="1678"/>
      <c r="G31" s="1678"/>
      <c r="H31" s="1678"/>
      <c r="I31" s="1691"/>
      <c r="J31" s="1678"/>
      <c r="K31" s="2419"/>
      <c r="L31" s="1678"/>
      <c r="M31" s="1678"/>
      <c r="N31" s="1678"/>
      <c r="O31" s="1678"/>
      <c r="P31" s="1678"/>
      <c r="Q31" s="1678"/>
      <c r="R31" s="1678"/>
      <c r="S31" s="1678"/>
      <c r="T31" s="1678"/>
      <c r="U31" s="1678"/>
    </row>
    <row r="32" spans="1:21">
      <c r="A32" s="3252"/>
      <c r="B32" s="1645" t="s">
        <v>2003</v>
      </c>
      <c r="C32" s="1703"/>
      <c r="D32" s="1704"/>
      <c r="E32" s="1678"/>
      <c r="F32" s="1678"/>
      <c r="G32" s="1678"/>
      <c r="H32" s="1678"/>
      <c r="I32" s="1691"/>
      <c r="J32" s="1678"/>
      <c r="K32" s="2419"/>
      <c r="L32" s="1678"/>
      <c r="M32" s="1678"/>
      <c r="N32" s="1678"/>
      <c r="O32" s="1678"/>
      <c r="P32" s="1678"/>
      <c r="Q32" s="1678"/>
      <c r="R32" s="1678"/>
      <c r="S32" s="1678"/>
      <c r="T32" s="1678"/>
      <c r="U32" s="1678"/>
    </row>
    <row r="33" spans="1:21">
      <c r="A33" s="3252"/>
      <c r="B33" s="1645" t="s">
        <v>2004</v>
      </c>
      <c r="C33" s="1705"/>
      <c r="D33" s="1822"/>
      <c r="E33" s="1678"/>
      <c r="F33" s="1678"/>
      <c r="G33" s="1678"/>
      <c r="H33" s="1678"/>
      <c r="I33" s="1691"/>
      <c r="J33" s="1678"/>
      <c r="K33" s="2419"/>
      <c r="L33" s="1678"/>
      <c r="M33" s="1678"/>
      <c r="N33" s="1678"/>
      <c r="O33" s="1678"/>
      <c r="P33" s="1678"/>
      <c r="Q33" s="1678"/>
      <c r="R33" s="1678"/>
      <c r="S33" s="1678"/>
      <c r="T33" s="1678"/>
      <c r="U33" s="1678"/>
    </row>
    <row r="34" spans="1:21">
      <c r="A34" s="3253"/>
      <c r="B34" s="1645" t="s">
        <v>2005</v>
      </c>
      <c r="C34" s="3254"/>
      <c r="D34" s="3255"/>
      <c r="E34" s="1678"/>
      <c r="F34" s="1678"/>
      <c r="G34" s="1678"/>
      <c r="H34" s="1678"/>
      <c r="I34" s="1691"/>
      <c r="J34" s="1678"/>
      <c r="K34" s="2419"/>
      <c r="L34" s="1678"/>
      <c r="M34" s="1678"/>
      <c r="N34" s="1678"/>
      <c r="O34" s="1678"/>
      <c r="P34" s="1678"/>
      <c r="Q34" s="1678"/>
      <c r="R34" s="1678"/>
      <c r="S34" s="1678"/>
      <c r="T34" s="1678"/>
      <c r="U34" s="1678"/>
    </row>
    <row r="35" spans="1:21">
      <c r="A35" s="3256" t="s">
        <v>847</v>
      </c>
      <c r="B35" s="1706"/>
      <c r="C35" s="1760" t="str">
        <f>IF(B35="场地平整","——","具体情况：")</f>
        <v>具体情况：</v>
      </c>
      <c r="D35" s="3258"/>
      <c r="E35" s="3259"/>
      <c r="F35" s="3259"/>
      <c r="G35" s="3259"/>
      <c r="H35" s="3259"/>
      <c r="I35" s="3260"/>
      <c r="J35" s="1678"/>
      <c r="K35" s="1759"/>
      <c r="L35" s="1707"/>
      <c r="M35" s="1707"/>
      <c r="N35" s="1678"/>
      <c r="O35" s="1679"/>
      <c r="P35" s="1678"/>
      <c r="Q35" s="1678"/>
      <c r="R35" s="1678"/>
      <c r="S35" s="1678"/>
      <c r="T35" s="1678"/>
      <c r="U35" s="1678"/>
    </row>
    <row r="36" spans="1:21">
      <c r="A36" s="3252"/>
      <c r="B36" s="3261" t="s">
        <v>2054</v>
      </c>
      <c r="C36" s="3262"/>
      <c r="D36" s="1776"/>
      <c r="E36" s="3263"/>
      <c r="F36" s="3263"/>
      <c r="G36" s="1671" t="str">
        <f>IF(B35="场地未平整","估价结果处理","")</f>
        <v/>
      </c>
      <c r="H36" s="3264"/>
      <c r="I36" s="3264"/>
      <c r="J36" s="1678"/>
      <c r="K36" s="1759"/>
      <c r="L36" s="1707"/>
      <c r="M36" s="1707"/>
      <c r="N36" s="1678"/>
      <c r="O36" s="1679"/>
      <c r="P36" s="1678"/>
      <c r="Q36" s="1678"/>
      <c r="R36" s="1678"/>
      <c r="S36" s="1678"/>
      <c r="T36" s="1678"/>
      <c r="U36" s="1678"/>
    </row>
    <row r="37" spans="1:21" ht="28.5">
      <c r="A37" s="3252"/>
      <c r="B37" s="324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2"/>
      <c r="B38" s="3242"/>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53"/>
      <c r="B39" s="324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4" t="s">
        <v>1985</v>
      </c>
      <c r="T40" s="1715" t="str">
        <f>NUMBERSTRING(7-K40,1)&amp;"通"</f>
        <v>七通</v>
      </c>
      <c r="U40" s="1678"/>
    </row>
    <row r="41" spans="1:21" ht="28.5">
      <c r="A41" s="1647"/>
      <c r="B41" s="3257" t="s">
        <v>1721</v>
      </c>
      <c r="C41" s="3257"/>
      <c r="D41" s="3257"/>
      <c r="E41" s="3257"/>
      <c r="F41" s="1716" t="str">
        <f>C10</f>
        <v>四川省成都市</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1" customFormat="1" ht="21"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hidden="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不动产权证登记信息!I17</f>
        <v>43369.49</v>
      </c>
      <c r="B3" s="22">
        <f>IF(C3="否",G5-AT5,G5)</f>
        <v>86738.98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86738.98</v>
      </c>
      <c r="H5" s="27">
        <f t="shared" ref="H5:AT5" si="0">SUM(H13:H641)</f>
        <v>86738.98</v>
      </c>
      <c r="I5" s="27">
        <f t="shared" si="0"/>
        <v>86738.98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86738.98</v>
      </c>
      <c r="BA5" s="29">
        <f t="shared" si="1"/>
        <v>86738.98</v>
      </c>
      <c r="BB5" s="29">
        <f t="shared" si="1"/>
        <v>86738.98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43369.49</v>
      </c>
      <c r="F6" s="27" t="s">
        <v>1</v>
      </c>
      <c r="G6" s="27" t="s">
        <v>2</v>
      </c>
      <c r="H6" s="33">
        <f>SUMIF(I$12:AB$12,"总值",I6:AB6)</f>
        <v>43369.49</v>
      </c>
      <c r="I6" s="27">
        <f t="shared" ref="I6:AB6" si="2">ROUND($A$3*I5/$B$3,2)</f>
        <v>43369.49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43369.49</v>
      </c>
      <c r="AZ6" s="27" t="s">
        <v>3</v>
      </c>
      <c r="BA6" s="27">
        <f>ROUND($AY$6*BA5/$AZ$5,2)</f>
        <v>43369.49</v>
      </c>
      <c r="BB6" s="27">
        <f>ROUND($AY$6*BB5/$AZ$5,2)</f>
        <v>43369.49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3031</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3004</v>
      </c>
      <c r="J10" s="51"/>
      <c r="K10" s="2970"/>
      <c r="L10" s="51"/>
      <c r="M10" s="2970"/>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3"/>
      <c r="B13" s="2963"/>
      <c r="C13" s="2963"/>
      <c r="D13" s="2964" t="s">
        <v>1678</v>
      </c>
      <c r="E13" s="27">
        <f t="shared" ref="E13:E20" si="6">IF($C$3="是",ROUND($A$3*G13/$B$3,2),ROUND($A$3*(G13-AT13)/$B$3,2))</f>
        <v>43369.49</v>
      </c>
      <c r="F13" s="81"/>
      <c r="G13" s="82">
        <f t="shared" ref="G13:G20" si="7">H13+AC13+AT13</f>
        <v>86738.98</v>
      </c>
      <c r="H13" s="33">
        <f t="shared" ref="H13:H20" si="8">SUMIF(I$12:AB$12,"总值",I13:AB13)</f>
        <v>86738.98</v>
      </c>
      <c r="I13" s="2967">
        <f>ROUND(不动产权证登记信息!I17*不动产权证登记信息!K17,2)</f>
        <v>86738.98</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6">
        <f t="shared" ref="AY13:AY20" si="11">ROUND($AY$6*AZ13/$AZ$5,2)</f>
        <v>43369.49</v>
      </c>
      <c r="AZ13" s="27">
        <f t="shared" ref="AZ13:AZ20" si="12">BA13+BL13</f>
        <v>86738.98</v>
      </c>
      <c r="BA13" s="27">
        <f t="shared" ref="BA13:BA20" si="13">SUM(BB13:BK13)</f>
        <v>86738.98</v>
      </c>
      <c r="BB13" s="27">
        <f t="shared" ref="BB13:BB20" si="14">IF($D13="是",I13-J13,0)</f>
        <v>86738.98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1" sqref="B4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6" t="s">
        <v>203</v>
      </c>
      <c r="B2" s="3276"/>
      <c r="C2" s="3276"/>
      <c r="D2" s="1960" t="s">
        <v>204</v>
      </c>
      <c r="E2" s="106" t="s">
        <v>205</v>
      </c>
      <c r="F2" s="1969"/>
      <c r="G2" s="1194"/>
      <c r="H2" s="1195"/>
      <c r="I2" s="1196" t="s">
        <v>857</v>
      </c>
      <c r="J2" s="1969"/>
      <c r="K2" s="1969"/>
      <c r="L2" s="1969"/>
    </row>
    <row r="3" spans="1:16" ht="15.75" thickBot="1">
      <c r="A3" s="3277" t="s">
        <v>206</v>
      </c>
      <c r="B3" s="3277"/>
      <c r="C3" s="3277"/>
      <c r="D3" s="107">
        <f>'数据-基础表'!AY6</f>
        <v>43369.49</v>
      </c>
      <c r="E3" s="107">
        <f>'数据-基础表'!AZ5</f>
        <v>86738.98</v>
      </c>
      <c r="F3" s="1969"/>
      <c r="G3" s="280" t="s">
        <v>858</v>
      </c>
      <c r="H3" s="275" t="s">
        <v>859</v>
      </c>
      <c r="I3" s="1961">
        <f>ROUND('数据-基础表'!B3/'数据-基础表'!A3,2)</f>
        <v>2</v>
      </c>
      <c r="J3" s="1969"/>
      <c r="K3" s="1969"/>
      <c r="L3" s="1969"/>
    </row>
    <row r="4" spans="1:16" ht="15">
      <c r="A4" s="3278"/>
      <c r="B4" s="3279"/>
      <c r="C4" s="3280"/>
      <c r="D4" s="108" t="s">
        <v>204</v>
      </c>
      <c r="E4" s="109" t="s">
        <v>205</v>
      </c>
      <c r="F4" s="1969"/>
      <c r="G4" s="1197"/>
      <c r="H4" s="275" t="s">
        <v>860</v>
      </c>
      <c r="I4" s="1961">
        <f>ROUND(SUMIF('数据-基础表'!I9:AS9,"地上",'数据-基础表'!I5:AS5)/'数据-基础表'!A3,2)</f>
        <v>2</v>
      </c>
      <c r="J4" s="1969"/>
      <c r="K4" s="1969"/>
      <c r="L4" s="1969"/>
    </row>
    <row r="5" spans="1:16">
      <c r="A5" s="110" t="s">
        <v>207</v>
      </c>
      <c r="B5" s="3281" t="s">
        <v>230</v>
      </c>
      <c r="C5" s="3281"/>
      <c r="D5" s="111">
        <f>ROUND($D$3*E5/$E$3,2)</f>
        <v>0</v>
      </c>
      <c r="E5" s="112">
        <f>SUMIF('数据-基础表'!$11:$11,"住宅",'数据-基础表'!$5:$5)</f>
        <v>0</v>
      </c>
      <c r="F5" s="1969"/>
      <c r="G5" s="280" t="s">
        <v>861</v>
      </c>
      <c r="H5" s="275" t="s">
        <v>859</v>
      </c>
      <c r="I5" s="1961">
        <f>ROUND(E31/D31,2)</f>
        <v>2</v>
      </c>
      <c r="J5" s="1969"/>
      <c r="K5" s="1969"/>
      <c r="L5" s="1969"/>
    </row>
    <row r="6" spans="1:16" ht="15" thickBot="1">
      <c r="A6" s="113"/>
      <c r="B6" s="3281" t="s">
        <v>208</v>
      </c>
      <c r="C6" s="3281"/>
      <c r="D6" s="111">
        <f>ROUND($D$3*E6/$E$3,2)</f>
        <v>43369.49</v>
      </c>
      <c r="E6" s="112">
        <f>E3-E5</f>
        <v>86738.98</v>
      </c>
      <c r="F6" s="1969"/>
      <c r="G6" s="1197"/>
      <c r="H6" s="275" t="s">
        <v>860</v>
      </c>
      <c r="I6" s="1961">
        <f>ROUND(F31/D31,2)</f>
        <v>2</v>
      </c>
      <c r="J6" s="1969"/>
      <c r="K6" s="1969"/>
      <c r="L6" s="1969"/>
    </row>
    <row r="7" spans="1:16" ht="15">
      <c r="A7" s="3273"/>
      <c r="B7" s="3274"/>
      <c r="C7" s="3275"/>
      <c r="D7" s="108" t="s">
        <v>204</v>
      </c>
      <c r="E7" s="114" t="s">
        <v>231</v>
      </c>
      <c r="F7" s="1969"/>
      <c r="G7" s="1152" t="s">
        <v>1645</v>
      </c>
      <c r="H7" s="1153"/>
      <c r="I7" s="1831"/>
      <c r="J7" s="1969"/>
      <c r="K7" s="1969"/>
      <c r="L7" s="1969"/>
    </row>
    <row r="8" spans="1:16">
      <c r="A8" s="110" t="s">
        <v>209</v>
      </c>
      <c r="B8" s="115" t="s">
        <v>210</v>
      </c>
      <c r="C8" s="111" t="s">
        <v>211</v>
      </c>
      <c r="D8" s="111">
        <f t="shared" ref="D8:D15" si="0">ROUND($D$3*E8/$E$3,2)</f>
        <v>43369.49</v>
      </c>
      <c r="E8" s="116">
        <f>SUMIF('数据-基础表'!BB10:BK10,"地上",'数据-基础表'!BB5:BK5)</f>
        <v>86738.98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43369.49</v>
      </c>
      <c r="E16" s="120">
        <f>SUM(E8:E15)</f>
        <v>86738.98</v>
      </c>
      <c r="F16" s="1969"/>
      <c r="G16" s="1971"/>
      <c r="H16" s="968" t="s">
        <v>219</v>
      </c>
      <c r="I16" s="969"/>
      <c r="J16" s="1969"/>
      <c r="K16" s="3267" t="s">
        <v>2566</v>
      </c>
      <c r="L16" s="3268"/>
      <c r="M16" s="3268"/>
      <c r="N16" s="3268"/>
      <c r="O16" s="3268"/>
      <c r="P16" s="3269"/>
    </row>
    <row r="17" spans="1:19" ht="15">
      <c r="A17" s="121" t="s">
        <v>216</v>
      </c>
      <c r="B17" s="122" t="s">
        <v>217</v>
      </c>
      <c r="C17" s="2283" t="s">
        <v>2313</v>
      </c>
      <c r="D17" s="108" t="s">
        <v>204</v>
      </c>
      <c r="E17" s="124" t="s">
        <v>205</v>
      </c>
      <c r="F17" s="125"/>
      <c r="G17" s="1362"/>
      <c r="H17" s="970" t="s">
        <v>218</v>
      </c>
      <c r="I17" s="971" t="s">
        <v>2312</v>
      </c>
      <c r="J17" s="1969"/>
      <c r="K17" s="3270" t="s">
        <v>2567</v>
      </c>
      <c r="L17" s="3271"/>
      <c r="M17" s="3272"/>
      <c r="N17" s="3270" t="s">
        <v>2568</v>
      </c>
      <c r="O17" s="3271"/>
      <c r="P17" s="3272"/>
      <c r="R17" s="2284" t="s">
        <v>2311</v>
      </c>
      <c r="S17" s="144"/>
    </row>
    <row r="18" spans="1:19" ht="15">
      <c r="A18" s="117"/>
      <c r="B18" s="128"/>
      <c r="C18" s="129"/>
      <c r="D18" s="2603"/>
      <c r="E18" s="130" t="s">
        <v>220</v>
      </c>
      <c r="F18" s="131" t="s">
        <v>221</v>
      </c>
      <c r="G18" s="1363" t="s">
        <v>222</v>
      </c>
      <c r="H18" s="972" t="s">
        <v>223</v>
      </c>
      <c r="I18" s="973" t="s">
        <v>224</v>
      </c>
      <c r="J18" s="1969"/>
      <c r="K18" s="2566" t="s">
        <v>2569</v>
      </c>
      <c r="L18" s="2567" t="s">
        <v>2570</v>
      </c>
      <c r="M18" s="2568" t="s">
        <v>2571</v>
      </c>
      <c r="N18" s="2566" t="s">
        <v>2569</v>
      </c>
      <c r="O18" s="2567" t="s">
        <v>2570</v>
      </c>
      <c r="P18" s="2568" t="s">
        <v>2571</v>
      </c>
      <c r="R18" s="2285" t="s">
        <v>2309</v>
      </c>
      <c r="S18" s="2285" t="s">
        <v>2310</v>
      </c>
    </row>
    <row r="19" spans="1:19">
      <c r="A19" s="133"/>
      <c r="B19" s="115" t="s">
        <v>225</v>
      </c>
      <c r="C19" s="2974" t="s">
        <v>3032</v>
      </c>
      <c r="D19" s="111">
        <f t="shared" ref="D19:D26" si="1">ROUND($D$3*E19/$E$3,2)</f>
        <v>43369.49</v>
      </c>
      <c r="E19" s="134">
        <f t="shared" ref="E19:E26" si="2">SUM(F19:G19)</f>
        <v>86738.98</v>
      </c>
      <c r="F19" s="135">
        <f>'数据-基础表'!I13</f>
        <v>86738.98</v>
      </c>
      <c r="G19" s="1364"/>
      <c r="H19" s="974">
        <f>ROUND($D$3*I19/$E$3,2)</f>
        <v>0</v>
      </c>
      <c r="I19" s="116">
        <f>IF($I$17="自定义",P19,M19)</f>
        <v>0</v>
      </c>
      <c r="J19" s="1969"/>
      <c r="K19" s="2569">
        <f t="shared" ref="K19:K26" si="3">ROUND(E$28*E19/E$27,2)</f>
        <v>0</v>
      </c>
      <c r="L19" s="275">
        <f t="shared" ref="L19:L26" si="4">ROUND(IF(COUNTIF(C19,"*住宅*")&gt;0,E$29*E19/E$32,0),2)</f>
        <v>0</v>
      </c>
      <c r="M19" s="2570">
        <f>K19+L19</f>
        <v>0</v>
      </c>
      <c r="N19" s="2571"/>
      <c r="O19" s="2572"/>
      <c r="P19" s="2573">
        <f>N19+O19</f>
        <v>0</v>
      </c>
      <c r="R19" s="275">
        <f t="shared" ref="R19:S26" si="5">D19+H19</f>
        <v>43369.49</v>
      </c>
      <c r="S19" s="2286">
        <f t="shared" si="5"/>
        <v>86738.98</v>
      </c>
    </row>
    <row r="20" spans="1:19">
      <c r="A20" s="138"/>
      <c r="B20" s="115" t="s">
        <v>226</v>
      </c>
      <c r="C20" s="2974"/>
      <c r="D20" s="111">
        <f t="shared" si="1"/>
        <v>0</v>
      </c>
      <c r="E20" s="134">
        <f t="shared" si="2"/>
        <v>0</v>
      </c>
      <c r="F20" s="135"/>
      <c r="G20" s="1364"/>
      <c r="H20" s="974">
        <f t="shared" ref="H20:H26" si="6">ROUND($D$3*I20/$E$3,2)</f>
        <v>0</v>
      </c>
      <c r="I20" s="116">
        <f t="shared" ref="I20:I26" si="7">IF($I$17="自定义",P20,M20)</f>
        <v>0</v>
      </c>
      <c r="J20" s="1969"/>
      <c r="K20" s="2569">
        <f t="shared" si="3"/>
        <v>0</v>
      </c>
      <c r="L20" s="275">
        <f t="shared" si="4"/>
        <v>0</v>
      </c>
      <c r="M20" s="2570">
        <f t="shared" ref="M20:M26" si="8">K20+L20</f>
        <v>0</v>
      </c>
      <c r="N20" s="2571"/>
      <c r="O20" s="2572"/>
      <c r="P20" s="2573">
        <f t="shared" ref="P20:P26" si="9">N20+O20</f>
        <v>0</v>
      </c>
      <c r="R20" s="275">
        <f t="shared" si="5"/>
        <v>0</v>
      </c>
      <c r="S20" s="2286">
        <f t="shared" si="5"/>
        <v>0</v>
      </c>
    </row>
    <row r="21" spans="1:19">
      <c r="A21" s="138"/>
      <c r="B21" s="115" t="s">
        <v>226</v>
      </c>
      <c r="C21" s="2974"/>
      <c r="D21" s="111">
        <f t="shared" si="1"/>
        <v>0</v>
      </c>
      <c r="E21" s="134">
        <f t="shared" si="2"/>
        <v>0</v>
      </c>
      <c r="F21" s="135"/>
      <c r="G21" s="1364"/>
      <c r="H21" s="974">
        <f t="shared" si="6"/>
        <v>0</v>
      </c>
      <c r="I21" s="116">
        <f t="shared" si="7"/>
        <v>0</v>
      </c>
      <c r="J21" s="1969"/>
      <c r="K21" s="2569">
        <f t="shared" si="3"/>
        <v>0</v>
      </c>
      <c r="L21" s="275">
        <f t="shared" si="4"/>
        <v>0</v>
      </c>
      <c r="M21" s="2570">
        <f t="shared" si="8"/>
        <v>0</v>
      </c>
      <c r="N21" s="2571"/>
      <c r="O21" s="2572"/>
      <c r="P21" s="2573">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69">
        <f t="shared" si="3"/>
        <v>0</v>
      </c>
      <c r="L22" s="275">
        <f t="shared" si="4"/>
        <v>0</v>
      </c>
      <c r="M22" s="2570">
        <f t="shared" si="8"/>
        <v>0</v>
      </c>
      <c r="N22" s="2571"/>
      <c r="O22" s="2572"/>
      <c r="P22" s="2573">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69">
        <f t="shared" si="3"/>
        <v>0</v>
      </c>
      <c r="L23" s="275">
        <f t="shared" si="4"/>
        <v>0</v>
      </c>
      <c r="M23" s="2570">
        <f t="shared" si="8"/>
        <v>0</v>
      </c>
      <c r="N23" s="2571"/>
      <c r="O23" s="2572"/>
      <c r="P23" s="2573">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69">
        <f t="shared" si="3"/>
        <v>0</v>
      </c>
      <c r="L24" s="275">
        <f t="shared" si="4"/>
        <v>0</v>
      </c>
      <c r="M24" s="2570">
        <f t="shared" si="8"/>
        <v>0</v>
      </c>
      <c r="N24" s="2571"/>
      <c r="O24" s="2572"/>
      <c r="P24" s="2573">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69">
        <f t="shared" si="3"/>
        <v>0</v>
      </c>
      <c r="L25" s="275">
        <f t="shared" si="4"/>
        <v>0</v>
      </c>
      <c r="M25" s="2570">
        <f t="shared" si="8"/>
        <v>0</v>
      </c>
      <c r="N25" s="2571"/>
      <c r="O25" s="2572"/>
      <c r="P25" s="2573">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4">
        <f t="shared" si="3"/>
        <v>0</v>
      </c>
      <c r="L26" s="280">
        <f t="shared" si="4"/>
        <v>0</v>
      </c>
      <c r="M26" s="146">
        <f t="shared" si="8"/>
        <v>0</v>
      </c>
      <c r="N26" s="2575"/>
      <c r="O26" s="2576"/>
      <c r="P26" s="2577">
        <f t="shared" si="9"/>
        <v>0</v>
      </c>
      <c r="R26" s="275">
        <f t="shared" si="5"/>
        <v>0</v>
      </c>
      <c r="S26" s="2286">
        <f t="shared" si="5"/>
        <v>0</v>
      </c>
    </row>
    <row r="27" spans="1:19" ht="15.75" thickBot="1">
      <c r="A27" s="138"/>
      <c r="B27" s="111"/>
      <c r="C27" s="127" t="s">
        <v>215</v>
      </c>
      <c r="D27" s="134">
        <f>SUM(D19:D26)</f>
        <v>43369.49</v>
      </c>
      <c r="E27" s="143">
        <f>IF(SUM(E19:E26)='数据-基础表'!BA5,SUM(E19:E26),IF(F27="地上面积有误","面积有误","地下面积有误"))</f>
        <v>86738.98</v>
      </c>
      <c r="F27" s="134">
        <f>IF(SUM(F19:F26)=E8,SUM(F19:F26),"地上面积有误")</f>
        <v>86738.98</v>
      </c>
      <c r="G27" s="112">
        <f>SUM(G19:G26)</f>
        <v>0</v>
      </c>
      <c r="H27" s="975">
        <f>SUM(H19:H26)</f>
        <v>0</v>
      </c>
      <c r="I27" s="976">
        <f>SUM(I19:I26)</f>
        <v>0</v>
      </c>
      <c r="J27" s="1969"/>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43369.49</v>
      </c>
      <c r="S27" s="275">
        <f>IF(SUM(S19:S26)=$E$3,SUM(S19:S26),SUM(S19:S26)&amp;"误差"&amp;ROUND(SUM(S19:S26)-E3,2))</f>
        <v>86738.98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43369.49</v>
      </c>
      <c r="E31" s="1368">
        <f>E27+E30</f>
        <v>86738.98</v>
      </c>
      <c r="F31" s="1369">
        <f>F27+F30</f>
        <v>86738.98</v>
      </c>
      <c r="G31" s="1370">
        <f>G27+G30</f>
        <v>0</v>
      </c>
      <c r="H31" s="1969"/>
      <c r="I31" s="1969"/>
      <c r="J31" s="1969"/>
      <c r="K31" s="1969"/>
      <c r="L31" s="1969"/>
    </row>
    <row r="32" spans="1:19">
      <c r="A32" s="1969"/>
      <c r="B32" s="2327" t="s">
        <v>2321</v>
      </c>
      <c r="C32" s="2608"/>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N21"/>
  <sheetViews>
    <sheetView workbookViewId="0">
      <pane xSplit="5" ySplit="17" topLeftCell="F18" activePane="bottomRight" state="frozen"/>
      <selection pane="topRight" activeCell="F1" sqref="F1"/>
      <selection pane="bottomLeft" activeCell="A18" sqref="A18"/>
      <selection pane="bottomRight" activeCell="G21" sqref="G21"/>
    </sheetView>
  </sheetViews>
  <sheetFormatPr defaultRowHeight="13.5"/>
  <cols>
    <col min="5" max="14" width="20" customWidth="1"/>
  </cols>
  <sheetData>
    <row r="2" spans="5:11" hidden="1"/>
    <row r="3" spans="5:11" hidden="1"/>
    <row r="4" spans="5:11" hidden="1"/>
    <row r="5" spans="5:11" hidden="1"/>
    <row r="6" spans="5:11" hidden="1"/>
    <row r="7" spans="5:11" hidden="1"/>
    <row r="8" spans="5:11" hidden="1"/>
    <row r="9" spans="5:11" hidden="1"/>
    <row r="10" spans="5:11" hidden="1"/>
    <row r="11" spans="5:11" hidden="1"/>
    <row r="12" spans="5:11" hidden="1"/>
    <row r="13" spans="5:11" hidden="1"/>
    <row r="16" spans="5:11" ht="46.5" customHeight="1">
      <c r="E16" s="3182" t="s">
        <v>3009</v>
      </c>
      <c r="F16" s="3182" t="s">
        <v>3010</v>
      </c>
      <c r="G16" s="3182" t="s">
        <v>3011</v>
      </c>
      <c r="H16" s="3182" t="s">
        <v>3012</v>
      </c>
      <c r="I16" s="3182" t="s">
        <v>3013</v>
      </c>
      <c r="J16" s="3182" t="s">
        <v>3014</v>
      </c>
      <c r="K16" s="3182" t="s">
        <v>3015</v>
      </c>
    </row>
    <row r="17" spans="5:14" ht="46.5" customHeight="1">
      <c r="E17" s="3185" t="s">
        <v>3016</v>
      </c>
      <c r="F17" s="3185" t="s">
        <v>3017</v>
      </c>
      <c r="G17" s="3185" t="s">
        <v>3304</v>
      </c>
      <c r="H17" s="3185" t="s">
        <v>3018</v>
      </c>
      <c r="I17" s="3185">
        <v>43369.49</v>
      </c>
      <c r="J17" s="3186">
        <v>57738</v>
      </c>
      <c r="K17" s="3185">
        <v>2</v>
      </c>
    </row>
    <row r="18" spans="5:14" ht="46.5" customHeight="1">
      <c r="E18" s="3183" t="s">
        <v>3019</v>
      </c>
      <c r="F18" s="3183" t="s">
        <v>3020</v>
      </c>
      <c r="G18" s="3183" t="s">
        <v>3021</v>
      </c>
      <c r="H18" s="3183" t="s">
        <v>3022</v>
      </c>
      <c r="I18" s="3183">
        <v>8645</v>
      </c>
      <c r="J18" s="3184">
        <v>53545</v>
      </c>
      <c r="K18" s="3183"/>
    </row>
    <row r="19" spans="5:14" ht="46.5" customHeight="1">
      <c r="E19" s="3183" t="s">
        <v>3023</v>
      </c>
      <c r="F19" s="3183" t="s">
        <v>3020</v>
      </c>
      <c r="G19" s="3183" t="s">
        <v>3024</v>
      </c>
      <c r="H19" s="3183" t="s">
        <v>3025</v>
      </c>
      <c r="I19" s="3183">
        <v>7567</v>
      </c>
      <c r="J19" s="3184">
        <v>56081</v>
      </c>
      <c r="K19" s="3183"/>
    </row>
    <row r="20" spans="5:14" ht="46.5" customHeight="1">
      <c r="E20" s="3183" t="s">
        <v>3026</v>
      </c>
      <c r="F20" s="3183" t="s">
        <v>3305</v>
      </c>
      <c r="G20" s="3183" t="s">
        <v>3027</v>
      </c>
      <c r="H20" s="3183" t="s">
        <v>3022</v>
      </c>
      <c r="I20" s="3183">
        <v>6380</v>
      </c>
      <c r="J20" s="3183"/>
      <c r="K20" s="3183"/>
      <c r="L20" s="3183" t="s">
        <v>3023</v>
      </c>
      <c r="M20" s="3183" t="s">
        <v>3028</v>
      </c>
      <c r="N20" s="3183">
        <v>31</v>
      </c>
    </row>
    <row r="21" spans="5:14" ht="46.5" customHeight="1">
      <c r="E21" s="3183" t="s">
        <v>3029</v>
      </c>
      <c r="F21" s="3183" t="s">
        <v>3020</v>
      </c>
      <c r="G21" s="3183" t="s">
        <v>3030</v>
      </c>
      <c r="H21" s="3183" t="s">
        <v>3022</v>
      </c>
      <c r="I21" s="3183">
        <v>10331.450000000001</v>
      </c>
      <c r="J21" s="3183"/>
      <c r="K21" s="3183"/>
      <c r="L21" s="3183" t="s">
        <v>3019</v>
      </c>
      <c r="M21" s="3183"/>
      <c r="N21" s="3183">
        <v>40</v>
      </c>
    </row>
  </sheetData>
  <phoneticPr fontId="228"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9" sqref="L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43599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2"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2"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3004</v>
      </c>
      <c r="D6" s="2293">
        <f>SUMIF(项目基本情况!D$15:I$15,C6,项目基本情况!D$18:I$18)</f>
        <v>40</v>
      </c>
      <c r="E6" s="2294">
        <f>IF(B6="","",SUMIF(项目基本情况!D$15:I$15,C6,项目基本情况!D$17:I$17))</f>
        <v>57738</v>
      </c>
      <c r="F6" s="174">
        <f>SUMIF(项目基本情况!D$15:I$15,C6,项目基本情况!D$19:I$19)</f>
        <v>38.729999999999997</v>
      </c>
      <c r="G6" s="175">
        <f>IF(ISERROR(ROUND(POWER(1+H6,D6-F6)*(POWER(1+H6,F6)-1)/(POWER(1+H6,D6)-1),3)),0,ROUND(POWER(1+H6,D6-F6)*(POWER(1+H6,F6)-1)/(POWER(1+H6,D6)-1),3))</f>
        <v>0.98899999999999999</v>
      </c>
      <c r="H6" s="2975">
        <v>0.05</v>
      </c>
      <c r="I6" s="2975">
        <v>5.5E-2</v>
      </c>
      <c r="J6" s="176">
        <v>8.5000000000000006E-2</v>
      </c>
      <c r="K6" s="179">
        <f>SUMIF('数据-汇总表'!C$19:C$33,'数据-取费表'!A6,'数据-汇总表'!E$19:E$33)</f>
        <v>86738.98</v>
      </c>
      <c r="L6" s="2976">
        <v>2000</v>
      </c>
      <c r="M6" s="177">
        <f t="shared" ref="M6:M14" si="0">ROUND(K6*L6/10000,0)</f>
        <v>17348</v>
      </c>
      <c r="N6" s="2977">
        <v>0</v>
      </c>
      <c r="O6" s="177">
        <f>IF($N$5="成新度","——",ROUND(M6*N6,0))</f>
        <v>0</v>
      </c>
      <c r="P6" s="178">
        <f>IF($N$5="成新度","——",M6-O6)</f>
        <v>17348</v>
      </c>
      <c r="Q6" s="2978">
        <v>0.15</v>
      </c>
      <c r="R6" s="179">
        <f>SUMIF('数据-汇总表'!C$19:C$33,A6,'数据-汇总表'!R$19:R$33)</f>
        <v>43369.49</v>
      </c>
      <c r="S6" s="132">
        <f>IF('数据-汇总表'!$I$17="按面积比例",SUMIF('数据-汇总表'!C$19:C$33,A6,'数据-汇总表'!K$19:K$33),SUMIF('数据-汇总表'!C$19:C$33,A6,'数据-汇总表'!N$19:N$33))</f>
        <v>0</v>
      </c>
      <c r="T6" s="2219" t="str">
        <f>IF($T$4="按面积比例",IF(ISERROR(ROUND($M$14*S6/S$16,0)),"0",ROUND($M$14*S6/S$16,0)),"需自行计算录入")</f>
        <v>0</v>
      </c>
      <c r="U6" s="180">
        <v>1.7</v>
      </c>
      <c r="V6" s="181">
        <v>0.03</v>
      </c>
      <c r="W6" s="181">
        <v>0.1</v>
      </c>
      <c r="X6" s="2306"/>
      <c r="Y6" s="182">
        <v>1</v>
      </c>
      <c r="Z6" s="183"/>
      <c r="AA6" s="176"/>
      <c r="AB6" s="176"/>
      <c r="AC6" s="2309"/>
      <c r="AD6" s="184"/>
      <c r="AE6" s="972">
        <f ca="1">IF(AN6="",0,SUMIF(INDIRECT("'"&amp;AN6&amp;"'"&amp;"!E:E"),$AE$5,INDIRECT("'"&amp;AN6&amp;"'"&amp;"!F:F")))</f>
        <v>37.229999999999997</v>
      </c>
      <c r="AF6" s="141"/>
      <c r="AG6" s="1209">
        <f>IF(AF6="",0,AE6-AF6)</f>
        <v>0</v>
      </c>
      <c r="AH6" s="141"/>
      <c r="AI6" s="187">
        <v>365</v>
      </c>
      <c r="AJ6" s="188"/>
      <c r="AK6" s="189">
        <v>1.4999999999999999E-2</v>
      </c>
      <c r="AL6" s="190">
        <v>1.5E-3</v>
      </c>
      <c r="AM6" s="2989">
        <v>0.01</v>
      </c>
      <c r="AN6" s="2353" t="s">
        <v>3034</v>
      </c>
      <c r="AO6" s="1985"/>
      <c r="AP6" s="1200">
        <f>ROUND(1-1/(1+H6)^F6,3)</f>
        <v>0.84899999999999998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hidden="1">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1"/>
      <c r="AN7" s="2353"/>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hidden="1">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1"/>
      <c r="AN8" s="2353"/>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hidden="1">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1"/>
      <c r="AN9" s="2353"/>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hidden="1">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1"/>
      <c r="AN10" s="2353"/>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hidden="1">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3"/>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hidden="1">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3"/>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hidden="1">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1"/>
      <c r="AN13" s="2353"/>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0.05</v>
      </c>
      <c r="I16" s="204"/>
      <c r="J16" s="204"/>
      <c r="K16" s="205">
        <f>SUM(K6:K15)</f>
        <v>86738.98</v>
      </c>
      <c r="L16" s="206">
        <f>ROUND(M16*10000/SUM(K6:K14),0)</f>
        <v>2000</v>
      </c>
      <c r="M16" s="206">
        <f>SUM(M6:M14)</f>
        <v>17348</v>
      </c>
      <c r="N16" s="207">
        <f>ROUND(SUMPRODUCT(M6:M14,N6:N14)/M16,3)</f>
        <v>0</v>
      </c>
      <c r="O16" s="206">
        <f>SUM(O6:O14)</f>
        <v>0</v>
      </c>
      <c r="P16" s="206">
        <f>SUM(P6:P14)</f>
        <v>17348</v>
      </c>
      <c r="Q16" s="208">
        <f>ROUND(SUMPRODUCT(Q6:Q13,K6:K13)/SUMPRODUCT((Q6:Q13&gt;0)*(K6:K13)),2)</f>
        <v>0.15</v>
      </c>
      <c r="R16" s="2296">
        <f>SUM(R6:R13)</f>
        <v>43369.49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t="s">
        <v>3033</v>
      </c>
      <c r="V19" s="1974">
        <v>12000</v>
      </c>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1.5</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f>V19*0.65</f>
        <v>7800</v>
      </c>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v>3</v>
      </c>
      <c r="V21" s="1974">
        <v>7000</v>
      </c>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1.5</v>
      </c>
      <c r="C22" s="1977"/>
      <c r="D22" s="1978"/>
      <c r="E22" s="1977"/>
      <c r="F22" s="1977"/>
      <c r="G22" s="1977"/>
      <c r="H22" s="1977"/>
      <c r="I22" s="1977"/>
      <c r="J22" s="1977"/>
      <c r="K22" s="1976"/>
      <c r="L22" s="1976"/>
      <c r="M22" s="1974"/>
      <c r="N22" s="1974"/>
      <c r="O22" s="1974"/>
      <c r="P22" s="1974"/>
      <c r="Q22" s="1974"/>
      <c r="R22" s="1974"/>
      <c r="S22" s="1974"/>
      <c r="T22" s="1974"/>
      <c r="U22" s="1974">
        <v>4</v>
      </c>
      <c r="V22" s="1974">
        <v>7000</v>
      </c>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v>5</v>
      </c>
      <c r="V23" s="1974">
        <v>7000</v>
      </c>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2.5000000000000001E-2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0.03</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0"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0" t="s">
        <v>2457</v>
      </c>
      <c r="B40" s="2442">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49">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3"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4"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4"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5" t="s">
        <v>2902</v>
      </c>
      <c r="D53" s="3026"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8" t="s">
        <v>2904</v>
      </c>
      <c r="B54" s="186">
        <v>18</v>
      </c>
      <c r="C54" s="1979">
        <v>30</v>
      </c>
      <c r="D54" s="3027"/>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8" t="s">
        <v>2905</v>
      </c>
      <c r="B55" s="186"/>
      <c r="C55" s="1979">
        <v>24</v>
      </c>
      <c r="D55" s="3027"/>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8" t="s">
        <v>2906</v>
      </c>
      <c r="B56" s="186"/>
      <c r="C56" s="1979">
        <v>18</v>
      </c>
      <c r="D56" s="3027"/>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8" t="s">
        <v>2907</v>
      </c>
      <c r="B57" s="186"/>
      <c r="C57" s="1979">
        <v>12</v>
      </c>
      <c r="D57" s="3027"/>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8" t="s">
        <v>2908</v>
      </c>
      <c r="B58" s="186"/>
      <c r="C58" s="1979">
        <v>3</v>
      </c>
      <c r="D58" s="3027"/>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8" t="s">
        <v>2909</v>
      </c>
      <c r="B59" s="186"/>
      <c r="C59" s="1979">
        <v>1.5</v>
      </c>
      <c r="D59" s="3027"/>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8"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8"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8"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29"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2" t="s">
        <v>1663</v>
      </c>
      <c r="B1" s="3283"/>
      <c r="C1" s="3283"/>
      <c r="D1" s="3283"/>
      <c r="E1" s="3283"/>
      <c r="F1" s="3283"/>
      <c r="G1" s="328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0" t="s">
        <v>2920</v>
      </c>
      <c r="D3" s="1994"/>
      <c r="E3" s="1225" t="s">
        <v>1666</v>
      </c>
      <c r="F3" s="1226" t="s">
        <v>1654</v>
      </c>
      <c r="G3" s="3034" t="s">
        <v>2919</v>
      </c>
      <c r="H3" s="1993"/>
      <c r="I3" s="1993"/>
      <c r="J3" s="1993"/>
      <c r="K3" s="1993"/>
      <c r="L3" s="1993"/>
      <c r="M3" s="1993"/>
      <c r="N3" s="1993"/>
      <c r="O3" s="1993"/>
      <c r="P3" s="1993"/>
      <c r="Q3" s="1993"/>
      <c r="R3" s="1993"/>
    </row>
    <row r="4" spans="1:18" ht="41.25">
      <c r="A4" s="1225"/>
      <c r="B4" s="1227" t="s">
        <v>1667</v>
      </c>
      <c r="C4" s="3031" t="s">
        <v>2921</v>
      </c>
      <c r="D4" s="1994"/>
      <c r="E4" s="1228"/>
      <c r="F4" s="1229" t="s">
        <v>1668</v>
      </c>
      <c r="G4" s="3032" t="s">
        <v>2916</v>
      </c>
      <c r="H4" s="1993"/>
      <c r="I4" s="1993"/>
      <c r="J4" s="1993"/>
      <c r="K4" s="1993"/>
      <c r="L4" s="1993"/>
      <c r="M4" s="1993"/>
      <c r="N4" s="1993"/>
      <c r="O4" s="1993"/>
      <c r="P4" s="1993"/>
      <c r="Q4" s="1993"/>
      <c r="R4" s="1993"/>
    </row>
    <row r="5" spans="1:18" ht="41.25">
      <c r="A5" s="1225"/>
      <c r="B5" s="1227" t="s">
        <v>1669</v>
      </c>
      <c r="C5" s="3031" t="s">
        <v>2922</v>
      </c>
      <c r="D5" s="1994"/>
      <c r="E5" s="1228"/>
      <c r="F5" s="1227" t="s">
        <v>2546</v>
      </c>
      <c r="G5" s="3032" t="s">
        <v>2917</v>
      </c>
      <c r="H5" s="1993"/>
      <c r="I5" s="1993"/>
      <c r="J5" s="1993"/>
      <c r="K5" s="1993"/>
      <c r="L5" s="1993"/>
      <c r="M5" s="1993"/>
      <c r="N5" s="1993"/>
      <c r="O5" s="1993"/>
      <c r="P5" s="1993"/>
      <c r="Q5" s="1993"/>
      <c r="R5" s="1993"/>
    </row>
    <row r="6" spans="1:18" ht="54">
      <c r="A6" s="1225"/>
      <c r="B6" s="1227" t="s">
        <v>1655</v>
      </c>
      <c r="C6" s="3032" t="s">
        <v>2916</v>
      </c>
      <c r="D6" s="1994"/>
      <c r="E6" s="1228"/>
      <c r="F6" s="1227" t="s">
        <v>2547</v>
      </c>
      <c r="G6" s="3032" t="s">
        <v>2914</v>
      </c>
      <c r="H6" s="1993"/>
      <c r="I6" s="1993"/>
      <c r="J6" s="1993"/>
      <c r="K6" s="1993"/>
      <c r="L6" s="1993"/>
      <c r="M6" s="1993"/>
      <c r="N6" s="1993"/>
      <c r="O6" s="1993"/>
      <c r="P6" s="1993"/>
      <c r="Q6" s="1993"/>
      <c r="R6" s="1993"/>
    </row>
    <row r="7" spans="1:18" ht="41.25" thickBot="1">
      <c r="A7" s="1225"/>
      <c r="B7" s="1227" t="s">
        <v>2546</v>
      </c>
      <c r="C7" s="3032" t="s">
        <v>2917</v>
      </c>
      <c r="D7" s="1995"/>
      <c r="E7" s="1230"/>
      <c r="F7" s="1231" t="s">
        <v>1670</v>
      </c>
      <c r="G7" s="3035" t="s">
        <v>2918</v>
      </c>
      <c r="H7" s="1993"/>
      <c r="I7" s="1993"/>
      <c r="J7" s="1993"/>
      <c r="K7" s="1993"/>
      <c r="L7" s="1993"/>
      <c r="M7" s="1993"/>
      <c r="N7" s="1993"/>
      <c r="O7" s="1993"/>
      <c r="P7" s="1993"/>
      <c r="Q7" s="1993"/>
      <c r="R7" s="1993"/>
    </row>
    <row r="8" spans="1:18" ht="27">
      <c r="A8" s="1225"/>
      <c r="B8" s="1227" t="s">
        <v>2547</v>
      </c>
      <c r="C8" s="3032" t="s">
        <v>2914</v>
      </c>
      <c r="D8" s="1995"/>
      <c r="E8" s="1995"/>
      <c r="F8" s="1540"/>
      <c r="G8" s="1540"/>
      <c r="H8" s="1993"/>
      <c r="I8" s="1993"/>
      <c r="J8" s="1993"/>
      <c r="K8" s="1993"/>
      <c r="L8" s="1993"/>
      <c r="M8" s="1993"/>
      <c r="N8" s="1993"/>
      <c r="O8" s="1993"/>
      <c r="P8" s="1993"/>
      <c r="Q8" s="1993"/>
      <c r="R8" s="1993"/>
    </row>
    <row r="9" spans="1:18" ht="40.5">
      <c r="A9" s="1225"/>
      <c r="B9" s="1227" t="s">
        <v>1656</v>
      </c>
      <c r="C9" s="3031"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3"/>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39"/>
      <c r="E12" s="1994"/>
      <c r="F12" s="1995"/>
      <c r="G12" s="1997"/>
      <c r="H12" s="2002"/>
      <c r="I12" s="2003"/>
      <c r="J12" s="2002"/>
      <c r="K12" s="2002"/>
      <c r="L12" s="2004"/>
      <c r="M12" s="2002"/>
      <c r="N12" s="2005"/>
      <c r="O12" s="2006"/>
      <c r="P12" s="2007"/>
      <c r="Q12" s="2005"/>
      <c r="R12" s="1991"/>
    </row>
    <row r="13" spans="1:18" ht="19.5" thickBot="1">
      <c r="A13" s="2538" t="s">
        <v>1672</v>
      </c>
      <c r="B13" s="2539"/>
      <c r="C13" s="2539"/>
      <c r="D13" s="1220"/>
      <c r="E13" s="2539"/>
      <c r="F13" s="2539"/>
      <c r="G13" s="2539"/>
    </row>
    <row r="14" spans="1:18" ht="14.25" thickBot="1">
      <c r="A14" s="1234"/>
      <c r="B14" s="1235"/>
      <c r="C14" s="1236" t="s">
        <v>1664</v>
      </c>
      <c r="D14" s="1994"/>
      <c r="E14" s="1237"/>
      <c r="F14" s="1237"/>
      <c r="G14" s="1219" t="s">
        <v>1665</v>
      </c>
    </row>
    <row r="15" spans="1:18" ht="54">
      <c r="A15" s="2549" t="s">
        <v>1657</v>
      </c>
      <c r="B15" s="1238" t="s">
        <v>1653</v>
      </c>
      <c r="C15" s="1239" t="str">
        <f>C3</f>
        <v>估价对象周边居住用地比例、居住小区规模和社区发展完善程度，综合评价居住社区成熟度一般</v>
      </c>
      <c r="D15" s="1994"/>
      <c r="E15" s="2546" t="s">
        <v>1658</v>
      </c>
      <c r="F15" s="1238" t="s">
        <v>1673</v>
      </c>
      <c r="G15" s="1240" t="str">
        <f>G3</f>
        <v>估价对象位于XX开发区，园区建设成熟度XX，产业集聚程度XX</v>
      </c>
    </row>
    <row r="16" spans="1:18" ht="40.5">
      <c r="A16" s="2550"/>
      <c r="B16" s="1241" t="s">
        <v>1667</v>
      </c>
      <c r="C16" s="1242" t="str">
        <f>C4</f>
        <v>估价对象位于XX商圈，周边商业氛围成熟，人流量大，商业繁华度好</v>
      </c>
      <c r="D16" s="1994"/>
      <c r="E16" s="2547"/>
      <c r="F16" s="1243" t="s">
        <v>1668</v>
      </c>
      <c r="G16" s="1005" t="str">
        <f>G4</f>
        <v>估价对象周边道路状况、公共交通通达情况、停车便捷程度，综合评价交通便捷度较好</v>
      </c>
    </row>
    <row r="17" spans="1:7" ht="40.5">
      <c r="A17" s="2550"/>
      <c r="B17" s="1241" t="s">
        <v>1669</v>
      </c>
      <c r="C17" s="1242" t="str">
        <f>C5</f>
        <v>估价对象位于XX商圈，周边办公楼项目较多，入驻率高，办公集聚程度较好</v>
      </c>
      <c r="D17" s="1995"/>
      <c r="E17" s="2547"/>
      <c r="F17" s="1243" t="s">
        <v>1674</v>
      </c>
      <c r="G17" s="2747"/>
    </row>
    <row r="18" spans="1:7" ht="54">
      <c r="A18" s="2550"/>
      <c r="B18" s="1243" t="s">
        <v>1655</v>
      </c>
      <c r="C18" s="1005" t="str">
        <f>C6</f>
        <v>估价对象周边道路状况、公共交通通达情况、停车便捷程度，综合评价交通便捷度较好</v>
      </c>
      <c r="D18" s="1995"/>
      <c r="E18" s="2547"/>
      <c r="F18" s="1243" t="s">
        <v>1670</v>
      </c>
      <c r="G18" s="1005" t="str">
        <f>G7</f>
        <v>该园区内是否有污染型企业，绿化情况，卫生条件，整体环境状况判断</v>
      </c>
    </row>
    <row r="19" spans="1:7" ht="27">
      <c r="A19" s="2550"/>
      <c r="B19" s="1243" t="s">
        <v>1659</v>
      </c>
      <c r="C19" s="2747"/>
      <c r="D19" s="1994"/>
      <c r="E19" s="2547"/>
      <c r="F19" s="1227" t="s">
        <v>2546</v>
      </c>
      <c r="G19" s="1005" t="str">
        <f>G5</f>
        <v>估价对象所在区域公共配套设施齐备情况</v>
      </c>
    </row>
    <row r="20" spans="1:7" ht="40.5">
      <c r="A20" s="2550"/>
      <c r="B20" s="1243" t="s">
        <v>1660</v>
      </c>
      <c r="C20" s="1242" t="str">
        <f>C9</f>
        <v>区域自然环境：；人文环境；综合评价环境状况一般</v>
      </c>
      <c r="D20" s="1995"/>
      <c r="E20" s="2547"/>
      <c r="F20" s="1227" t="s">
        <v>2547</v>
      </c>
      <c r="G20" s="1005" t="str">
        <f>G6</f>
        <v>估价对象所在区域基础设施水平</v>
      </c>
    </row>
    <row r="21" spans="1:7" ht="27">
      <c r="A21" s="2550"/>
      <c r="B21" s="1227" t="s">
        <v>2546</v>
      </c>
      <c r="C21" s="1005" t="str">
        <f>C7</f>
        <v>估价对象所在区域公共配套设施齐备情况</v>
      </c>
      <c r="D21" s="1994"/>
      <c r="E21" s="2547"/>
      <c r="F21" s="1243" t="s">
        <v>1661</v>
      </c>
      <c r="G21" s="3036"/>
    </row>
    <row r="22" spans="1:7" ht="27">
      <c r="A22" s="2550"/>
      <c r="B22" s="1227" t="s">
        <v>2547</v>
      </c>
      <c r="C22" s="1005" t="str">
        <f>C8</f>
        <v>估价对象所在区域基础设施水平</v>
      </c>
      <c r="D22" s="1994"/>
      <c r="E22" s="2547"/>
      <c r="F22" s="1243" t="s">
        <v>1671</v>
      </c>
      <c r="G22" s="2747"/>
    </row>
    <row r="23" spans="1:7" ht="15" thickBot="1">
      <c r="A23" s="2550"/>
      <c r="B23" s="1243" t="s">
        <v>1661</v>
      </c>
      <c r="C23" s="3036"/>
      <c r="E23" s="2548"/>
      <c r="F23" s="1244" t="s">
        <v>1675</v>
      </c>
      <c r="G23" s="3037"/>
    </row>
    <row r="24" spans="1:7" ht="14.25" thickBot="1">
      <c r="A24" s="2551"/>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2" sqref="D22"/>
    </sheetView>
  </sheetViews>
  <sheetFormatPr defaultColWidth="14.625" defaultRowHeight="13.5"/>
  <cols>
    <col min="1" max="1" width="24.375" customWidth="1"/>
  </cols>
  <sheetData>
    <row r="1" spans="1:9" ht="16.5">
      <c r="A1" s="2994" t="s">
        <v>2844</v>
      </c>
      <c r="B1" s="2994">
        <f>SUM(B14:B23)</f>
        <v>86738.98</v>
      </c>
      <c r="C1" s="2995"/>
      <c r="D1" s="2995"/>
      <c r="E1" s="2995"/>
      <c r="F1" s="2995"/>
    </row>
    <row r="2" spans="1:9" ht="16.5">
      <c r="A2" s="2994" t="s">
        <v>2845</v>
      </c>
      <c r="B2" s="2994">
        <f>SUM(C14:C23)</f>
        <v>43369.49</v>
      </c>
      <c r="C2" s="2995"/>
      <c r="D2" s="2995"/>
      <c r="E2" s="2995"/>
      <c r="F2" s="2995"/>
    </row>
    <row r="3" spans="1:9" ht="16.5">
      <c r="A3" s="2994" t="s">
        <v>2846</v>
      </c>
      <c r="B3" s="2996">
        <f>项目基本情况!D3</f>
        <v>43599</v>
      </c>
      <c r="C3" s="2995"/>
      <c r="D3" s="2995"/>
      <c r="E3" s="2995"/>
      <c r="F3" s="2995"/>
    </row>
    <row r="4" spans="1:9" ht="33">
      <c r="A4" s="2994" t="s">
        <v>2847</v>
      </c>
      <c r="B4" s="2994" t="s">
        <v>2848</v>
      </c>
      <c r="C4" s="2994" t="s">
        <v>2849</v>
      </c>
      <c r="D4" s="2994" t="s">
        <v>2850</v>
      </c>
      <c r="E4" s="2995"/>
      <c r="F4" s="2995"/>
    </row>
    <row r="5" spans="1:9" ht="16.5">
      <c r="A5" s="2994" t="s">
        <v>2851</v>
      </c>
      <c r="B5" s="2994">
        <f ca="1">SUM(D14:D23)</f>
        <v>26824</v>
      </c>
      <c r="C5" s="2994">
        <f ca="1">ROUND(B5*10000/$B$1,0)</f>
        <v>3092</v>
      </c>
      <c r="D5" s="2994">
        <f ca="1">ROUND(B5*10000/$B$2,0)</f>
        <v>6185</v>
      </c>
      <c r="E5" s="2995"/>
      <c r="F5" s="2995"/>
    </row>
    <row r="6" spans="1:9" ht="16.5">
      <c r="A6" s="2994" t="s">
        <v>2852</v>
      </c>
      <c r="B6" s="2994">
        <f ca="1">SUM(G14:G23)</f>
        <v>26824</v>
      </c>
      <c r="C6" s="2994">
        <f t="shared" ref="C6:C8" ca="1" si="0">ROUND(B6*10000/$B$1,0)</f>
        <v>3092</v>
      </c>
      <c r="D6" s="2994">
        <f t="shared" ref="D6:D8" ca="1" si="1">ROUND(B6*10000/$B$2,0)</f>
        <v>6185</v>
      </c>
      <c r="E6" s="2995"/>
      <c r="F6" s="2995"/>
    </row>
    <row r="7" spans="1:9" ht="16.5">
      <c r="A7" s="2994" t="s">
        <v>2853</v>
      </c>
      <c r="B7" s="2994">
        <f>SUM(H14:H23)</f>
        <v>0</v>
      </c>
      <c r="C7" s="2994">
        <f t="shared" si="0"/>
        <v>0</v>
      </c>
      <c r="D7" s="2994">
        <f t="shared" si="1"/>
        <v>0</v>
      </c>
      <c r="E7" s="2995"/>
      <c r="F7" s="2995"/>
    </row>
    <row r="8" spans="1:9" ht="16.5">
      <c r="A8" s="2994" t="s">
        <v>2854</v>
      </c>
      <c r="B8" s="2994">
        <f>SUM(I14:I23)</f>
        <v>0</v>
      </c>
      <c r="C8" s="2994">
        <f t="shared" si="0"/>
        <v>0</v>
      </c>
      <c r="D8" s="2994">
        <f t="shared" si="1"/>
        <v>0</v>
      </c>
      <c r="E8" s="2995"/>
      <c r="F8" s="2995"/>
    </row>
    <row r="9" spans="1:9" ht="16.5">
      <c r="A9" s="2994" t="s">
        <v>2855</v>
      </c>
      <c r="B9" s="2997"/>
      <c r="C9" s="2995"/>
      <c r="D9" s="2995"/>
      <c r="E9" s="2995"/>
      <c r="F9" s="2995"/>
    </row>
    <row r="10" spans="1:9" ht="16.5">
      <c r="A10" s="2994" t="s">
        <v>2856</v>
      </c>
      <c r="B10" s="2997"/>
      <c r="C10" s="2995"/>
      <c r="D10" s="2995"/>
      <c r="E10" s="2995"/>
      <c r="F10" s="2995"/>
    </row>
    <row r="11" spans="1:9" ht="16.5">
      <c r="A11" s="2994" t="s">
        <v>2873</v>
      </c>
      <c r="B11" s="2997"/>
      <c r="C11" s="2995"/>
      <c r="D11" s="2995"/>
      <c r="E11" s="2995"/>
      <c r="F11" s="2995"/>
    </row>
    <row r="12" spans="1:9" ht="16.5">
      <c r="A12" s="2995"/>
      <c r="B12" s="2995"/>
      <c r="C12" s="2995"/>
      <c r="D12" s="2995"/>
      <c r="E12" s="2995"/>
      <c r="F12" s="2995"/>
    </row>
    <row r="13" spans="1:9" ht="33">
      <c r="A13" s="3000" t="s">
        <v>2872</v>
      </c>
      <c r="B13" s="2998" t="s">
        <v>2844</v>
      </c>
      <c r="C13" s="2998" t="s">
        <v>2845</v>
      </c>
      <c r="D13" s="2998" t="s">
        <v>2857</v>
      </c>
      <c r="E13" s="2994" t="s">
        <v>2871</v>
      </c>
      <c r="F13" s="2994" t="s">
        <v>2850</v>
      </c>
      <c r="G13" s="2998" t="s">
        <v>2858</v>
      </c>
      <c r="H13" s="2998" t="s">
        <v>2859</v>
      </c>
      <c r="I13" s="2998" t="s">
        <v>2860</v>
      </c>
    </row>
    <row r="14" spans="1:9" ht="16.5">
      <c r="A14" s="3001" t="s">
        <v>2870</v>
      </c>
      <c r="B14" s="2998">
        <f>结果表!L38</f>
        <v>86738.98</v>
      </c>
      <c r="C14" s="2998">
        <f>结果表!K38</f>
        <v>43369.49</v>
      </c>
      <c r="D14" s="2998">
        <f ca="1">结果表!C42</f>
        <v>26824</v>
      </c>
      <c r="E14" s="2998">
        <f ca="1">ROUND(D14*10000/B14,0)</f>
        <v>3092</v>
      </c>
      <c r="F14" s="2998">
        <f ca="1">ROUND(D14*10000/C14,0)</f>
        <v>6185</v>
      </c>
      <c r="G14" s="2998">
        <f ca="1">结果表!C44</f>
        <v>26824</v>
      </c>
      <c r="H14" s="2998" t="str">
        <f>结果表!C45</f>
        <v>——</v>
      </c>
      <c r="I14" s="2998" t="str">
        <f>结果表!C46</f>
        <v>——</v>
      </c>
    </row>
    <row r="15" spans="1:9" ht="16.5">
      <c r="A15" s="3001" t="s">
        <v>2861</v>
      </c>
      <c r="B15" s="3002"/>
      <c r="C15" s="3002"/>
      <c r="D15" s="3002"/>
      <c r="E15" s="2998" t="e">
        <f t="shared" ref="E15:E23" si="2">ROUND(D15*10000/B15,0)</f>
        <v>#DIV/0!</v>
      </c>
      <c r="F15" s="2998" t="e">
        <f t="shared" ref="F15:F23" si="3">ROUND(D15*10000/C15,0)</f>
        <v>#DIV/0!</v>
      </c>
      <c r="G15" s="2999">
        <f>D15</f>
        <v>0</v>
      </c>
      <c r="H15" s="2999"/>
      <c r="I15" s="3002"/>
    </row>
    <row r="16" spans="1:9" ht="16.5">
      <c r="A16" s="3001" t="s">
        <v>2862</v>
      </c>
      <c r="B16" s="3002"/>
      <c r="C16" s="3002"/>
      <c r="D16" s="3002"/>
      <c r="E16" s="2998" t="e">
        <f t="shared" si="2"/>
        <v>#DIV/0!</v>
      </c>
      <c r="F16" s="2998" t="e">
        <f t="shared" si="3"/>
        <v>#DIV/0!</v>
      </c>
      <c r="G16" s="2999">
        <f>D16</f>
        <v>0</v>
      </c>
      <c r="H16" s="2999"/>
      <c r="I16" s="3002"/>
    </row>
    <row r="17" spans="1:9" ht="16.5">
      <c r="A17" s="3001" t="s">
        <v>2863</v>
      </c>
      <c r="B17" s="3002"/>
      <c r="C17" s="3002"/>
      <c r="D17" s="3002"/>
      <c r="E17" s="2998" t="e">
        <f t="shared" si="2"/>
        <v>#DIV/0!</v>
      </c>
      <c r="F17" s="2998" t="e">
        <f t="shared" si="3"/>
        <v>#DIV/0!</v>
      </c>
      <c r="G17" s="2999"/>
      <c r="H17" s="2999"/>
      <c r="I17" s="3002"/>
    </row>
    <row r="18" spans="1:9" ht="16.5">
      <c r="A18" s="3001" t="s">
        <v>2864</v>
      </c>
      <c r="B18" s="3002"/>
      <c r="C18" s="3002"/>
      <c r="D18" s="3002"/>
      <c r="E18" s="2998" t="e">
        <f t="shared" si="2"/>
        <v>#DIV/0!</v>
      </c>
      <c r="F18" s="2998" t="e">
        <f t="shared" si="3"/>
        <v>#DIV/0!</v>
      </c>
      <c r="G18" s="3002"/>
      <c r="H18" s="3002"/>
      <c r="I18" s="3002"/>
    </row>
    <row r="19" spans="1:9" ht="16.5">
      <c r="A19" s="3001" t="s">
        <v>2865</v>
      </c>
      <c r="B19" s="3002"/>
      <c r="C19" s="3002"/>
      <c r="D19" s="3002"/>
      <c r="E19" s="2998" t="e">
        <f t="shared" si="2"/>
        <v>#DIV/0!</v>
      </c>
      <c r="F19" s="2998" t="e">
        <f t="shared" si="3"/>
        <v>#DIV/0!</v>
      </c>
      <c r="G19" s="3002"/>
      <c r="H19" s="3002"/>
      <c r="I19" s="3002"/>
    </row>
    <row r="20" spans="1:9" ht="16.5">
      <c r="A20" s="3001" t="s">
        <v>2866</v>
      </c>
      <c r="B20" s="3002"/>
      <c r="C20" s="3002"/>
      <c r="D20" s="3002"/>
      <c r="E20" s="2998" t="e">
        <f t="shared" si="2"/>
        <v>#DIV/0!</v>
      </c>
      <c r="F20" s="2998" t="e">
        <f t="shared" si="3"/>
        <v>#DIV/0!</v>
      </c>
      <c r="G20" s="3002"/>
      <c r="H20" s="3002"/>
      <c r="I20" s="3002"/>
    </row>
    <row r="21" spans="1:9" ht="16.5">
      <c r="A21" s="3001" t="s">
        <v>2867</v>
      </c>
      <c r="B21" s="3002"/>
      <c r="C21" s="3002"/>
      <c r="D21" s="3002"/>
      <c r="E21" s="2998" t="e">
        <f t="shared" si="2"/>
        <v>#DIV/0!</v>
      </c>
      <c r="F21" s="2998" t="e">
        <f t="shared" si="3"/>
        <v>#DIV/0!</v>
      </c>
      <c r="G21" s="3002"/>
      <c r="H21" s="3002"/>
      <c r="I21" s="3002"/>
    </row>
    <row r="22" spans="1:9" ht="16.5">
      <c r="A22" s="3001" t="s">
        <v>2868</v>
      </c>
      <c r="B22" s="3002"/>
      <c r="C22" s="3002"/>
      <c r="D22" s="3002"/>
      <c r="E22" s="2998" t="e">
        <f t="shared" si="2"/>
        <v>#DIV/0!</v>
      </c>
      <c r="F22" s="2998" t="e">
        <f t="shared" si="3"/>
        <v>#DIV/0!</v>
      </c>
      <c r="G22" s="3002"/>
      <c r="H22" s="3002"/>
      <c r="I22" s="3002"/>
    </row>
    <row r="23" spans="1:9" ht="16.5">
      <c r="A23" s="3001" t="s">
        <v>2869</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H29" sqref="H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9" t="str">
        <f>项目基本情况!K2</f>
        <v>四川省成都市青白江区景鸿路以东、绣川河以南出让国有建设用地使用权</v>
      </c>
      <c r="B2" s="3330"/>
      <c r="C2" s="3331"/>
      <c r="D2" s="3331"/>
      <c r="E2" s="3331"/>
      <c r="F2" s="3331"/>
      <c r="G2" s="3330"/>
      <c r="H2" s="3330"/>
      <c r="I2" s="3332"/>
      <c r="J2" s="2015"/>
      <c r="K2" s="2014"/>
      <c r="L2" s="2014"/>
      <c r="M2" s="2014"/>
      <c r="N2" s="2014"/>
      <c r="O2" s="2014"/>
      <c r="P2" s="2014"/>
      <c r="Q2" s="2014"/>
      <c r="R2" s="2014"/>
      <c r="S2" s="2014"/>
      <c r="T2" s="2014"/>
      <c r="U2" s="2014"/>
      <c r="V2" s="2014"/>
    </row>
    <row r="3" spans="1:22" ht="14.25">
      <c r="A3" s="3340" t="s">
        <v>298</v>
      </c>
      <c r="B3" s="3341"/>
      <c r="C3" s="3341"/>
      <c r="D3" s="3341"/>
      <c r="E3" s="3341"/>
      <c r="F3" s="3341"/>
      <c r="G3" s="3341"/>
      <c r="H3" s="3341"/>
      <c r="I3" s="3341"/>
      <c r="J3" s="2015"/>
      <c r="K3" s="2014"/>
      <c r="L3" s="2014"/>
      <c r="M3" s="2014"/>
      <c r="N3" s="2014"/>
      <c r="O3" s="2014"/>
      <c r="P3" s="2014"/>
      <c r="Q3" s="2014"/>
      <c r="R3" s="2014"/>
      <c r="S3" s="2014"/>
      <c r="T3" s="2014"/>
      <c r="U3" s="2014"/>
      <c r="V3" s="2014"/>
    </row>
    <row r="4" spans="1:22" ht="14.25">
      <c r="A4" s="258" t="s">
        <v>299</v>
      </c>
      <c r="B4" s="259" t="s">
        <v>300</v>
      </c>
      <c r="C4" s="260" t="s">
        <v>3301</v>
      </c>
      <c r="D4" s="260" t="s">
        <v>3302</v>
      </c>
      <c r="E4" s="3304" t="s">
        <v>301</v>
      </c>
      <c r="F4" s="3346"/>
      <c r="G4" s="3346"/>
      <c r="H4" s="3346"/>
      <c r="I4" s="330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3" t="s">
        <v>302</v>
      </c>
      <c r="B5" s="3334">
        <v>25</v>
      </c>
      <c r="C5" s="3342"/>
      <c r="D5" s="3345"/>
      <c r="E5" s="261" t="s">
        <v>303</v>
      </c>
      <c r="F5" s="262"/>
      <c r="G5" s="262"/>
      <c r="H5" s="262"/>
      <c r="I5" s="263"/>
      <c r="J5" s="2015"/>
      <c r="K5" s="2014"/>
      <c r="L5" s="2014"/>
      <c r="M5" s="2014"/>
      <c r="N5" s="2014"/>
      <c r="O5" s="2014"/>
      <c r="P5" s="2014"/>
      <c r="Q5" s="2014"/>
      <c r="R5" s="2014"/>
      <c r="S5" s="2014"/>
      <c r="T5" s="2014"/>
      <c r="U5" s="2014"/>
      <c r="V5" s="2014"/>
    </row>
    <row r="6" spans="1:22" ht="14.25">
      <c r="A6" s="3333"/>
      <c r="B6" s="3334"/>
      <c r="C6" s="3343"/>
      <c r="D6" s="3345"/>
      <c r="E6" s="261" t="s">
        <v>304</v>
      </c>
      <c r="F6" s="262"/>
      <c r="G6" s="262"/>
      <c r="H6" s="262"/>
      <c r="I6" s="263"/>
      <c r="J6" s="2015"/>
      <c r="K6" s="2014"/>
      <c r="L6" s="2014"/>
      <c r="M6" s="2014"/>
      <c r="N6" s="2014"/>
      <c r="O6" s="2014"/>
      <c r="P6" s="2014"/>
      <c r="Q6" s="2014"/>
      <c r="R6" s="2014"/>
      <c r="S6" s="2014"/>
      <c r="T6" s="2014"/>
      <c r="U6" s="2014"/>
      <c r="V6" s="2014"/>
    </row>
    <row r="7" spans="1:22" ht="14.25">
      <c r="A7" s="3333"/>
      <c r="B7" s="3334"/>
      <c r="C7" s="3344"/>
      <c r="D7" s="3345"/>
      <c r="E7" s="261" t="s">
        <v>305</v>
      </c>
      <c r="F7" s="262"/>
      <c r="G7" s="262"/>
      <c r="H7" s="262"/>
      <c r="I7" s="263"/>
      <c r="J7" s="2015"/>
      <c r="K7" s="2014"/>
      <c r="L7" s="2014"/>
      <c r="M7" s="2014"/>
      <c r="N7" s="2014"/>
      <c r="O7" s="2014"/>
      <c r="P7" s="2014"/>
      <c r="Q7" s="2014"/>
      <c r="R7" s="2014"/>
      <c r="S7" s="2014"/>
      <c r="T7" s="2014"/>
      <c r="U7" s="2014"/>
      <c r="V7" s="2014"/>
    </row>
    <row r="8" spans="1:22" ht="14.25">
      <c r="A8" s="3333" t="s">
        <v>306</v>
      </c>
      <c r="B8" s="3334">
        <v>15</v>
      </c>
      <c r="C8" s="3342"/>
      <c r="D8" s="3345"/>
      <c r="E8" s="261" t="s">
        <v>307</v>
      </c>
      <c r="F8" s="262"/>
      <c r="G8" s="262"/>
      <c r="H8" s="262"/>
      <c r="I8" s="263"/>
      <c r="J8" s="2015"/>
      <c r="K8" s="2014"/>
      <c r="L8" s="2014"/>
      <c r="M8" s="2014"/>
      <c r="N8" s="2014"/>
      <c r="O8" s="2014"/>
      <c r="P8" s="2014"/>
      <c r="Q8" s="2014"/>
      <c r="R8" s="2014"/>
      <c r="S8" s="2014"/>
      <c r="T8" s="2014"/>
      <c r="U8" s="2014"/>
      <c r="V8" s="2014"/>
    </row>
    <row r="9" spans="1:22" ht="14.25">
      <c r="A9" s="3333"/>
      <c r="B9" s="3334"/>
      <c r="C9" s="3344"/>
      <c r="D9" s="3345"/>
      <c r="E9" s="261" t="s">
        <v>308</v>
      </c>
      <c r="F9" s="262"/>
      <c r="G9" s="262"/>
      <c r="H9" s="262"/>
      <c r="I9" s="263"/>
      <c r="J9" s="2015"/>
      <c r="K9" s="2014"/>
      <c r="L9" s="2014"/>
      <c r="M9" s="2014"/>
      <c r="N9" s="2014"/>
      <c r="O9" s="2014"/>
      <c r="P9" s="2014"/>
      <c r="Q9" s="2014"/>
      <c r="R9" s="2014"/>
      <c r="S9" s="2014"/>
      <c r="T9" s="2014"/>
      <c r="U9" s="2014"/>
      <c r="V9" s="2014"/>
    </row>
    <row r="10" spans="1:22" ht="14.25">
      <c r="A10" s="3333" t="s">
        <v>309</v>
      </c>
      <c r="B10" s="3334">
        <v>15</v>
      </c>
      <c r="C10" s="3342"/>
      <c r="D10" s="3345"/>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3"/>
      <c r="B11" s="3334"/>
      <c r="C11" s="3344"/>
      <c r="D11" s="3345"/>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3" t="s">
        <v>312</v>
      </c>
      <c r="B12" s="3334">
        <v>15</v>
      </c>
      <c r="C12" s="3342"/>
      <c r="D12" s="3345"/>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3"/>
      <c r="B13" s="3334"/>
      <c r="C13" s="3344"/>
      <c r="D13" s="3345"/>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3" t="s">
        <v>315</v>
      </c>
      <c r="B14" s="3334">
        <v>30</v>
      </c>
      <c r="C14" s="3342">
        <v>6</v>
      </c>
      <c r="D14" s="3345">
        <f>10-C14</f>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3"/>
      <c r="B15" s="3334"/>
      <c r="C15" s="3343"/>
      <c r="D15" s="3345"/>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3"/>
      <c r="B16" s="3334"/>
      <c r="C16" s="3344"/>
      <c r="D16" s="334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19230</v>
      </c>
      <c r="D19" s="271">
        <f ca="1">SUMIF(INDIRECT("'"&amp;D4&amp;"'"&amp;"!A:A"),结果表!B19,INDIRECT("'"&amp;D4&amp;"'"&amp;"!B:B"))</f>
        <v>38215</v>
      </c>
      <c r="E19" s="268" t="s">
        <v>323</v>
      </c>
      <c r="F19" s="269" t="s">
        <v>322</v>
      </c>
      <c r="G19" s="272">
        <f ca="1">ROUND(C19*$C$18+D19*$D$18,0)</f>
        <v>26824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2217</v>
      </c>
      <c r="D20" s="277">
        <f ca="1">SUMIF(INDIRECT("'"&amp;D4&amp;"'"&amp;"!A:A"),结果表!B20,INDIRECT("'"&amp;D4&amp;"'"&amp;"!B:B"))</f>
        <v>4406</v>
      </c>
      <c r="E20" s="274"/>
      <c r="F20" s="275" t="s">
        <v>325</v>
      </c>
      <c r="G20" s="278">
        <f ca="1">ROUND(C20*$C$18+D20*$D$18,0)</f>
        <v>3093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4434</v>
      </c>
      <c r="D21" s="151">
        <f ca="1">SUMIF(INDIRECT("'"&amp;D4&amp;"'"&amp;"!A:A"),结果表!B21,INDIRECT("'"&amp;D4&amp;"'"&amp;"!B:B"))</f>
        <v>8811</v>
      </c>
      <c r="E21" s="274"/>
      <c r="F21" s="280" t="s">
        <v>327</v>
      </c>
      <c r="G21" s="282">
        <f ca="1">ROUND(C21*$C$18+D21*$D$18,0)</f>
        <v>6185</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0.98725949037961525</v>
      </c>
      <c r="E22" s="284"/>
      <c r="F22" s="285"/>
      <c r="G22" s="286">
        <f ca="1">ROUND(G19/('数据-汇总表'!D3/666.67),0)</f>
        <v>412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8"/>
      <c r="B25" s="1317" t="s">
        <v>331</v>
      </c>
      <c r="C25" s="290">
        <f>IF(B30=0,0,C30)</f>
        <v>0</v>
      </c>
      <c r="D25" s="291"/>
      <c r="E25" s="311"/>
      <c r="F25" s="311"/>
      <c r="G25" s="311"/>
      <c r="H25" s="311"/>
      <c r="I25" s="311"/>
      <c r="J25" s="2014"/>
      <c r="K25" s="1251" t="str">
        <f ca="1">项目基本情况!B16&amp;"国有建设用地使用权价格："&amp;O38&amp;"万元"</f>
        <v>出让国有建设用地使用权价格：26824万元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大写金额：人民币贰亿陆仟捌佰贰拾肆万元整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单位面积地价：6185元/平方米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楼面地价：3092元/平方米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抵押价格：26824万元</v>
      </c>
      <c r="L29" s="1248"/>
      <c r="M29" s="1248"/>
      <c r="N29" s="1248"/>
      <c r="O29" s="1247"/>
      <c r="P29" s="2014"/>
      <c r="V29" s="2014"/>
    </row>
    <row r="30" spans="1:26" ht="18.75" thickBot="1">
      <c r="A30" s="3079" t="s">
        <v>336</v>
      </c>
      <c r="B30" s="309"/>
      <c r="C30" s="309"/>
      <c r="D30" s="310"/>
      <c r="E30" s="3080" t="s">
        <v>2967</v>
      </c>
      <c r="F30" s="311"/>
      <c r="G30" s="311"/>
      <c r="H30" s="311"/>
      <c r="I30" s="311"/>
      <c r="J30" s="2014"/>
      <c r="K30" s="1254" t="str">
        <f ca="1">IF(K29="——","——","大写金额：人民币"&amp;NUMBERSTRING(INT(O39*10000),2)&amp;"元整")</f>
        <v>大写金额：人民币贰亿陆仟捌佰贰拾肆万元整</v>
      </c>
      <c r="L30" s="1248"/>
      <c r="M30" s="1248"/>
      <c r="N30" s="1248"/>
      <c r="O30" s="1247"/>
      <c r="P30" s="2014"/>
      <c r="V30" s="2014"/>
    </row>
    <row r="31" spans="1:26" ht="24" customHeight="1" thickBot="1">
      <c r="A31" s="311"/>
      <c r="B31" s="311"/>
      <c r="C31" s="311"/>
      <c r="D31" s="311"/>
      <c r="E31" s="311"/>
      <c r="F31" s="311"/>
      <c r="G31" s="311"/>
      <c r="H31" s="311"/>
      <c r="I31" s="311"/>
      <c r="J31" s="2014"/>
      <c r="K31" s="2430" t="str">
        <f>IF(项目基本情况!E8="抵押价格","——","抵押担保权已注销时的抵押价格："&amp;O40&amp;"万元")</f>
        <v>——</v>
      </c>
      <c r="L31" s="2426"/>
      <c r="M31" s="2426"/>
      <c r="N31" s="2426"/>
      <c r="O31" s="2427"/>
      <c r="P31" s="2014"/>
      <c r="V31" s="2014"/>
    </row>
    <row r="32" spans="1:26" ht="18.75" thickBot="1">
      <c r="A32" s="268" t="s">
        <v>337</v>
      </c>
      <c r="B32" s="1378" t="s">
        <v>1688</v>
      </c>
      <c r="C32" s="1379">
        <f ca="1">G19-C24</f>
        <v>26824</v>
      </c>
      <c r="D32" s="1380" t="s">
        <v>1689</v>
      </c>
      <c r="E32" s="311"/>
      <c r="F32" s="311"/>
      <c r="G32" s="311"/>
      <c r="H32" s="311"/>
      <c r="I32" s="311"/>
      <c r="J32" s="2014"/>
      <c r="K32" s="2425" t="str">
        <f>IF(K31="——","——","大写金额：人民币"&amp;NUMBERSTRING(INT(O40*10000),2)&amp;"元整")</f>
        <v>——</v>
      </c>
      <c r="L32" s="2428"/>
      <c r="M32" s="2428"/>
      <c r="N32" s="2428"/>
      <c r="O32" s="2429"/>
      <c r="P32" s="2014"/>
      <c r="V32" s="2014"/>
    </row>
    <row r="33" spans="1:26" ht="18.75" thickBot="1">
      <c r="A33" s="298" t="s">
        <v>340</v>
      </c>
      <c r="B33" s="1381" t="s">
        <v>1690</v>
      </c>
      <c r="C33" s="264">
        <f ca="1">ROUND(C32*10000/'数据-汇总表'!E3,0)</f>
        <v>3092</v>
      </c>
      <c r="D33" s="1382" t="s">
        <v>1691</v>
      </c>
      <c r="E33" s="330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6185</v>
      </c>
      <c r="D34" s="1384" t="s">
        <v>1691</v>
      </c>
      <c r="E34" s="330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412</v>
      </c>
      <c r="D35" s="1387" t="s">
        <v>1693</v>
      </c>
      <c r="E35" s="3308"/>
      <c r="F35" s="301" t="s">
        <v>342</v>
      </c>
      <c r="G35" s="982"/>
      <c r="H35" s="981" t="s">
        <v>343</v>
      </c>
      <c r="I35" s="311"/>
      <c r="J35" s="2014"/>
      <c r="K35" s="3312" t="s">
        <v>350</v>
      </c>
      <c r="L35" s="3312" t="s">
        <v>351</v>
      </c>
      <c r="M35" s="1260" t="s">
        <v>352</v>
      </c>
      <c r="N35" s="3312" t="s">
        <v>353</v>
      </c>
      <c r="O35" s="3312" t="s">
        <v>354</v>
      </c>
      <c r="P35" s="2014"/>
      <c r="V35" s="2014"/>
    </row>
    <row r="36" spans="1:26" ht="16.5" customHeight="1">
      <c r="A36" s="303" t="s">
        <v>344</v>
      </c>
      <c r="B36" s="304" t="s">
        <v>333</v>
      </c>
      <c r="C36" s="305" t="s">
        <v>345</v>
      </c>
      <c r="D36" s="305" t="s">
        <v>346</v>
      </c>
      <c r="E36" s="306" t="s">
        <v>347</v>
      </c>
      <c r="F36" s="311"/>
      <c r="G36" s="311"/>
      <c r="H36" s="311"/>
      <c r="I36" s="311"/>
      <c r="J36" s="2016"/>
      <c r="K36" s="3313"/>
      <c r="L36" s="3313"/>
      <c r="M36" s="1262" t="s">
        <v>355</v>
      </c>
      <c r="N36" s="3313"/>
      <c r="O36" s="3313"/>
      <c r="P36" s="2014"/>
      <c r="V36" s="2014"/>
    </row>
    <row r="37" spans="1:26" ht="16.5" customHeight="1" thickBot="1">
      <c r="A37" s="1256" t="s">
        <v>348</v>
      </c>
      <c r="B37" s="307"/>
      <c r="C37" s="294"/>
      <c r="D37" s="294"/>
      <c r="E37" s="295"/>
      <c r="F37" s="311"/>
      <c r="G37" s="311"/>
      <c r="H37" s="311"/>
      <c r="I37" s="311"/>
      <c r="J37" s="2016"/>
      <c r="K37" s="3314"/>
      <c r="L37" s="3314"/>
      <c r="M37" s="1263"/>
      <c r="N37" s="3314"/>
      <c r="O37" s="3314"/>
      <c r="P37" s="2014"/>
      <c r="V37" s="2014"/>
    </row>
    <row r="38" spans="1:26" ht="16.5" customHeight="1" thickBot="1">
      <c r="A38" s="1256" t="s">
        <v>349</v>
      </c>
      <c r="B38" s="307"/>
      <c r="C38" s="294"/>
      <c r="D38" s="294"/>
      <c r="E38" s="295"/>
      <c r="F38" s="311"/>
      <c r="G38" s="311"/>
      <c r="H38" s="311"/>
      <c r="I38" s="311"/>
      <c r="J38" s="2016"/>
      <c r="K38" s="1264">
        <f>'数据-汇总表'!D3</f>
        <v>43369.49</v>
      </c>
      <c r="L38" s="1265">
        <f>'数据-汇总表'!E3</f>
        <v>86738.98</v>
      </c>
      <c r="M38" s="1265">
        <f ca="1">C34</f>
        <v>6185</v>
      </c>
      <c r="N38" s="1265">
        <f ca="1">C33</f>
        <v>3092</v>
      </c>
      <c r="O38" s="1266">
        <f ca="1">C32</f>
        <v>26824</v>
      </c>
      <c r="P38" s="2014"/>
      <c r="V38" s="2014"/>
    </row>
    <row r="39" spans="1:26" ht="16.5" customHeight="1" thickBot="1">
      <c r="A39" s="1261"/>
      <c r="B39" s="308"/>
      <c r="C39" s="309"/>
      <c r="D39" s="309"/>
      <c r="E39" s="310"/>
      <c r="F39" s="311"/>
      <c r="G39" s="311"/>
      <c r="H39" s="311"/>
      <c r="I39" s="311"/>
      <c r="J39" s="2016"/>
      <c r="K39" s="3289" t="str">
        <f>MID(A44,3,LEN(A44)-2)</f>
        <v>抵押价格</v>
      </c>
      <c r="L39" s="3290"/>
      <c r="M39" s="3290"/>
      <c r="N39" s="3291"/>
      <c r="O39" s="1389">
        <f ca="1">C44</f>
        <v>26824</v>
      </c>
      <c r="P39" s="2014"/>
      <c r="V39" s="2014"/>
    </row>
    <row r="40" spans="1:26" ht="19.5" thickBot="1">
      <c r="A40" s="104" t="s">
        <v>873</v>
      </c>
      <c r="B40" s="311"/>
      <c r="C40" s="311"/>
      <c r="D40" s="311"/>
      <c r="E40" s="311"/>
      <c r="F40" s="311"/>
      <c r="G40" s="311"/>
      <c r="H40" s="311"/>
      <c r="I40" s="311"/>
      <c r="J40" s="2016"/>
      <c r="K40" s="3289" t="str">
        <f t="shared" ref="K40:K41" si="0">MID(A45,3,LEN(A45)-2)</f>
        <v/>
      </c>
      <c r="L40" s="3290"/>
      <c r="M40" s="3290"/>
      <c r="N40" s="3291"/>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9" t="str">
        <f t="shared" si="0"/>
        <v/>
      </c>
      <c r="L41" s="3290"/>
      <c r="M41" s="3290"/>
      <c r="N41" s="3291"/>
      <c r="O41" s="1389" t="str">
        <f>C46</f>
        <v>——</v>
      </c>
      <c r="P41" s="2014"/>
      <c r="V41" s="2014"/>
    </row>
    <row r="42" spans="1:26" ht="29.25">
      <c r="A42" s="3349" t="s">
        <v>2067</v>
      </c>
      <c r="B42" s="3350"/>
      <c r="C42" s="264">
        <f ca="1">C32</f>
        <v>26824</v>
      </c>
      <c r="D42" s="317">
        <f ca="1">C33</f>
        <v>3092</v>
      </c>
      <c r="E42" s="317">
        <f ca="1">C34</f>
        <v>6185</v>
      </c>
      <c r="F42" s="318">
        <f ca="1">C35</f>
        <v>412</v>
      </c>
      <c r="G42" s="311"/>
      <c r="H42" s="311"/>
      <c r="I42" s="319"/>
      <c r="J42" s="2016"/>
      <c r="K42" s="1267" t="s">
        <v>361</v>
      </c>
      <c r="L42" s="2033" t="s">
        <v>362</v>
      </c>
      <c r="M42" s="1268" t="s">
        <v>363</v>
      </c>
      <c r="N42" s="2034" t="s">
        <v>364</v>
      </c>
      <c r="O42" s="2035" t="s">
        <v>365</v>
      </c>
      <c r="P42" s="2014"/>
      <c r="V42" s="2014"/>
    </row>
    <row r="43" spans="1:26" ht="30">
      <c r="A43" s="3359" t="s">
        <v>2730</v>
      </c>
      <c r="B43" s="3360"/>
      <c r="C43" s="264">
        <f>IF(H33="正常操作",G33+G34+G35,G34+G35)</f>
        <v>0</v>
      </c>
      <c r="D43" s="317" t="s">
        <v>43</v>
      </c>
      <c r="E43" s="317" t="s">
        <v>44</v>
      </c>
      <c r="F43" s="318" t="s">
        <v>44</v>
      </c>
      <c r="G43" s="2819" t="s">
        <v>952</v>
      </c>
      <c r="H43" s="311"/>
      <c r="I43" s="319"/>
      <c r="J43" s="2016"/>
      <c r="K43" s="1269" t="str">
        <f>C4</f>
        <v>比较法-住宅、综合</v>
      </c>
      <c r="L43" s="1270">
        <f ca="1">IF(L42="估价结果/万元",C19,C20)</f>
        <v>19230</v>
      </c>
      <c r="M43" s="1271">
        <f>C18</f>
        <v>0.6</v>
      </c>
      <c r="N43" s="1272">
        <f ca="1">IF(N42="测算结果/万元",G19,G20)</f>
        <v>26824</v>
      </c>
      <c r="O43" s="1273">
        <f ca="1">IF(O42="最终结果/万元",C32,C33)</f>
        <v>26824</v>
      </c>
      <c r="P43" s="2014"/>
      <c r="V43" s="2014"/>
    </row>
    <row r="44" spans="1:26" ht="30.75" thickBot="1">
      <c r="A44" s="3349" t="str">
        <f>IF(OR(项目基本情况!E8="抵押价格",项目基本情况!E8="已注销及未注销"),"3.抵押价格","——")</f>
        <v>3.抵押价格</v>
      </c>
      <c r="B44" s="3350"/>
      <c r="C44" s="264">
        <f ca="1">IF(A44="——","——",C42-C43)</f>
        <v>26824</v>
      </c>
      <c r="D44" s="317">
        <f ca="1">ROUND(C44*10000/'数据-汇总表'!E3,0)</f>
        <v>3092</v>
      </c>
      <c r="E44" s="317">
        <f ca="1">ROUND(C44*10000/'数据-汇总表'!D3,0)</f>
        <v>6185</v>
      </c>
      <c r="F44" s="318">
        <f ca="1">ROUND(C44/('数据-汇总表'!D3/666.67),0)</f>
        <v>412</v>
      </c>
      <c r="G44" s="311"/>
      <c r="H44" s="311"/>
      <c r="I44" s="319"/>
      <c r="J44" s="2016"/>
      <c r="K44" s="1274" t="str">
        <f>D4</f>
        <v>剩余法-待开发</v>
      </c>
      <c r="L44" s="1275">
        <f ca="1">IF(L42="估价结果/万元",D19,D20)</f>
        <v>38215</v>
      </c>
      <c r="M44" s="1276">
        <f>D18</f>
        <v>0.4</v>
      </c>
      <c r="N44" s="1277"/>
      <c r="O44" s="1278"/>
      <c r="P44" s="2014"/>
      <c r="V44" s="2014"/>
    </row>
    <row r="45" spans="1:26" ht="15">
      <c r="A45" s="3354" t="str">
        <f>IF(项目基本情况!E8="已注销及未注销","4.抵押担保权已注销时的抵押价格",IF(项目基本情况!E8="已注销","3.抵押担保权已注销时的抵押价格","——"))</f>
        <v>——</v>
      </c>
      <c r="B45" s="335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1" t="str">
        <f>IF(项目基本情况!E9="抵押净值",IF(A45="——","4.抵押净值","5.抵押净值"),"——")</f>
        <v>——</v>
      </c>
      <c r="B46" s="335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7" t="s">
        <v>374</v>
      </c>
      <c r="B63" s="3318"/>
      <c r="C63" s="3319"/>
      <c r="D63" s="341">
        <f ca="1">ROUND(C42*F63,0)</f>
        <v>16094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6" t="s">
        <v>378</v>
      </c>
      <c r="B64" s="3357"/>
      <c r="C64" s="3357"/>
      <c r="D64" s="3357"/>
      <c r="E64" s="3357"/>
      <c r="F64" s="3357"/>
      <c r="G64" s="335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3" t="s">
        <v>386</v>
      </c>
      <c r="B66" s="3324"/>
      <c r="C66" s="3324"/>
      <c r="D66" s="261">
        <f ca="1">IF(H66="情况1",0,IF(H66="情况2",D70,IF(H66="情况3",D71,IF(H66="情况4",D72))))</f>
        <v>858</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93" t="s">
        <v>385</v>
      </c>
      <c r="M66" s="3294"/>
      <c r="N66" s="2420"/>
      <c r="O66" s="2421"/>
      <c r="P66" s="2422"/>
      <c r="Q66" s="2014"/>
      <c r="R66" s="2014"/>
      <c r="S66" s="2014"/>
      <c r="T66" s="2014"/>
      <c r="U66" s="2014"/>
      <c r="V66" s="2014"/>
    </row>
    <row r="67" spans="1:22" ht="25.5" customHeight="1">
      <c r="A67" s="352" t="s">
        <v>390</v>
      </c>
      <c r="B67" s="3336" t="s">
        <v>391</v>
      </c>
      <c r="C67" s="3336"/>
      <c r="D67" s="353">
        <v>0</v>
      </c>
      <c r="E67" s="41" t="s">
        <v>392</v>
      </c>
      <c r="F67" s="62" t="s">
        <v>21</v>
      </c>
      <c r="G67" s="3320"/>
      <c r="H67" s="311"/>
      <c r="I67" s="1288"/>
      <c r="J67" s="2021"/>
      <c r="K67" s="1962">
        <v>2</v>
      </c>
      <c r="L67" s="3292" t="s">
        <v>389</v>
      </c>
      <c r="M67" s="3292"/>
      <c r="N67" s="1321">
        <f>'数据-取费表'!B2</f>
        <v>43599</v>
      </c>
      <c r="O67" s="1321"/>
      <c r="P67" s="1321"/>
      <c r="Q67" s="2014"/>
      <c r="R67" s="2014"/>
      <c r="S67" s="2014"/>
      <c r="T67" s="2014"/>
      <c r="U67" s="2014"/>
      <c r="V67" s="2014"/>
    </row>
    <row r="68" spans="1:22" ht="25.5" customHeight="1">
      <c r="A68" s="354"/>
      <c r="B68" s="3336" t="s">
        <v>394</v>
      </c>
      <c r="C68" s="3336"/>
      <c r="D68" s="355"/>
      <c r="E68" s="77"/>
      <c r="F68" s="356"/>
      <c r="G68" s="3321"/>
      <c r="H68" s="311"/>
      <c r="I68" s="1288"/>
      <c r="J68" s="2021"/>
      <c r="K68" s="1962">
        <v>3</v>
      </c>
      <c r="L68" s="3292" t="s">
        <v>393</v>
      </c>
      <c r="M68" s="3292"/>
      <c r="N68" s="1289">
        <f ca="1">C42</f>
        <v>26824</v>
      </c>
      <c r="O68" s="1289"/>
      <c r="P68" s="1289"/>
      <c r="Q68" s="2014"/>
      <c r="R68" s="2014"/>
      <c r="S68" s="2014"/>
      <c r="T68" s="2014"/>
      <c r="U68" s="2014"/>
      <c r="V68" s="2014"/>
    </row>
    <row r="69" spans="1:22" ht="12" customHeight="1">
      <c r="A69" s="357"/>
      <c r="B69" s="3336" t="s">
        <v>395</v>
      </c>
      <c r="C69" s="3336"/>
      <c r="D69" s="358"/>
      <c r="E69" s="73"/>
      <c r="F69" s="356"/>
      <c r="G69" s="3322"/>
      <c r="H69" s="311"/>
      <c r="I69" s="1288"/>
      <c r="J69" s="2021"/>
      <c r="K69" s="1290">
        <v>4</v>
      </c>
      <c r="L69" s="3298" t="s">
        <v>2883</v>
      </c>
      <c r="M69" s="3299"/>
      <c r="N69" s="1291">
        <f ca="1">C44</f>
        <v>26824</v>
      </c>
      <c r="O69" s="1291"/>
      <c r="P69" s="1291"/>
      <c r="Q69" s="2014"/>
      <c r="R69" s="2014"/>
      <c r="S69" s="2014"/>
      <c r="T69" s="2014"/>
      <c r="U69" s="2014"/>
      <c r="V69" s="2014"/>
    </row>
    <row r="70" spans="1:22" ht="24" customHeight="1">
      <c r="A70" s="359" t="s">
        <v>396</v>
      </c>
      <c r="B70" s="3336" t="s">
        <v>397</v>
      </c>
      <c r="C70" s="3336"/>
      <c r="D70" s="358">
        <f ca="1">ROUND(D63*'数据-取费表'!B41/(1+'数据-取费表'!C42),0)</f>
        <v>858</v>
      </c>
      <c r="E70" s="17" t="s">
        <v>398</v>
      </c>
      <c r="F70" s="360">
        <f>'数据-取费表'!B41</f>
        <v>5.6000000000000001E-2</v>
      </c>
      <c r="G70" s="361"/>
      <c r="H70" s="311"/>
      <c r="I70" s="1288"/>
      <c r="J70" s="2021"/>
      <c r="K70" s="3011"/>
      <c r="L70" s="3012"/>
      <c r="M70" s="3012"/>
      <c r="N70" s="3013" t="s">
        <v>2888</v>
      </c>
      <c r="O70" s="3012"/>
      <c r="P70" s="3014"/>
      <c r="Q70" s="2014"/>
      <c r="R70" s="2014"/>
      <c r="S70" s="2014"/>
      <c r="T70" s="2014"/>
      <c r="U70" s="2014"/>
      <c r="V70" s="2014"/>
    </row>
    <row r="71" spans="1:22" ht="12" customHeight="1">
      <c r="A71" s="359" t="s">
        <v>404</v>
      </c>
      <c r="B71" s="3335" t="s">
        <v>405</v>
      </c>
      <c r="C71" s="3347"/>
      <c r="D71" s="358">
        <f ca="1">ROUND(D63*'数据-取费表'!B41/(1+'数据-取费表'!C42),0)</f>
        <v>858</v>
      </c>
      <c r="E71" s="17" t="s">
        <v>398</v>
      </c>
      <c r="F71" s="360">
        <f>'数据-取费表'!B41</f>
        <v>5.6000000000000001E-2</v>
      </c>
      <c r="G71" s="361"/>
      <c r="H71" s="311"/>
      <c r="I71" s="1288"/>
      <c r="J71" s="2021"/>
      <c r="K71" s="3010" t="s">
        <v>399</v>
      </c>
      <c r="L71" s="3300" t="s">
        <v>400</v>
      </c>
      <c r="M71" s="3300"/>
      <c r="N71" s="3010" t="s">
        <v>401</v>
      </c>
      <c r="O71" s="3010" t="s">
        <v>402</v>
      </c>
      <c r="P71" s="3010" t="s">
        <v>403</v>
      </c>
      <c r="Q71" s="2014"/>
      <c r="R71" s="2014"/>
      <c r="S71" s="2014"/>
      <c r="T71" s="2014"/>
      <c r="U71" s="2014"/>
      <c r="V71" s="2014"/>
    </row>
    <row r="72" spans="1:22" ht="12" customHeight="1">
      <c r="A72" s="359" t="s">
        <v>407</v>
      </c>
      <c r="B72" s="3335" t="s">
        <v>408</v>
      </c>
      <c r="C72" s="3347"/>
      <c r="D72" s="358">
        <f ca="1">C86</f>
        <v>746</v>
      </c>
      <c r="E72" s="73" t="s">
        <v>409</v>
      </c>
      <c r="F72" s="360">
        <f>'数据-取费表'!B41</f>
        <v>5.6000000000000001E-2</v>
      </c>
      <c r="G72" s="361"/>
      <c r="H72" s="1294"/>
      <c r="I72" s="1288"/>
      <c r="J72" s="2021"/>
      <c r="K72" s="1962">
        <v>1</v>
      </c>
      <c r="L72" s="3297" t="s">
        <v>406</v>
      </c>
      <c r="M72" s="3297"/>
      <c r="N72" s="1292">
        <f ca="1">D66</f>
        <v>858</v>
      </c>
      <c r="O72" s="1845" t="str">
        <f>E66</f>
        <v>销售额×税（费）率</v>
      </c>
      <c r="P72" s="1293">
        <f>F66</f>
        <v>5.6000000000000001E-2</v>
      </c>
      <c r="Q72" s="2014"/>
      <c r="R72" s="2014"/>
      <c r="S72" s="2014"/>
      <c r="T72" s="2014"/>
      <c r="U72" s="2014"/>
      <c r="V72" s="2014"/>
    </row>
    <row r="73" spans="1:22" ht="24" customHeight="1">
      <c r="A73" s="3323" t="s">
        <v>411</v>
      </c>
      <c r="B73" s="3324"/>
      <c r="C73" s="3324"/>
      <c r="D73" s="362">
        <f>IF(H73="个人住宅",0,ROUND(D63*I73,0))</f>
        <v>0</v>
      </c>
      <c r="E73" s="17" t="s">
        <v>412</v>
      </c>
      <c r="F73" s="360" t="str">
        <f>IF(H73="正常",I73,"免征")</f>
        <v>免征</v>
      </c>
      <c r="G73" s="361"/>
      <c r="H73" s="191" t="s">
        <v>2455</v>
      </c>
      <c r="I73" s="360">
        <f>'数据-取费表'!B49</f>
        <v>5.0000000000000001E-4</v>
      </c>
      <c r="J73" s="2021"/>
      <c r="K73" s="1962">
        <v>2</v>
      </c>
      <c r="L73" s="3297" t="s">
        <v>410</v>
      </c>
      <c r="M73" s="3297"/>
      <c r="N73" s="1292">
        <f t="shared" ref="N73:P74" si="1">D73</f>
        <v>0</v>
      </c>
      <c r="O73" s="1845" t="str">
        <f t="shared" si="1"/>
        <v>销售额×税（费）率</v>
      </c>
      <c r="P73" s="1293" t="str">
        <f t="shared" si="1"/>
        <v>免征</v>
      </c>
      <c r="Q73" s="2014"/>
      <c r="R73" s="2014"/>
      <c r="S73" s="2014"/>
      <c r="T73" s="2014"/>
      <c r="U73" s="2014"/>
      <c r="V73" s="2014"/>
    </row>
    <row r="74" spans="1:22" ht="24.75">
      <c r="A74" s="3323" t="s">
        <v>415</v>
      </c>
      <c r="B74" s="3324"/>
      <c r="C74" s="3324"/>
      <c r="D74" s="362">
        <f ca="1">IF(H74="个人住宅",D75,D76)</f>
        <v>8454</v>
      </c>
      <c r="E74" s="17" t="s">
        <v>416</v>
      </c>
      <c r="F74" s="360" t="str">
        <f>IF(H74="正常",F76,"免征")</f>
        <v>——</v>
      </c>
      <c r="G74" s="983" t="s">
        <v>417</v>
      </c>
      <c r="H74" s="363" t="s">
        <v>413</v>
      </c>
      <c r="I74" s="42"/>
      <c r="J74" s="2021"/>
      <c r="K74" s="1962">
        <v>3</v>
      </c>
      <c r="L74" s="3297" t="s">
        <v>414</v>
      </c>
      <c r="M74" s="3297"/>
      <c r="N74" s="1292">
        <f t="shared" ca="1" si="1"/>
        <v>8454</v>
      </c>
      <c r="O74" s="1845" t="str">
        <f t="shared" si="1"/>
        <v>增值额×税（费）率</v>
      </c>
      <c r="P74" s="1295" t="str">
        <f t="shared" si="1"/>
        <v>——</v>
      </c>
      <c r="Q74" s="2014"/>
      <c r="R74" s="2014"/>
      <c r="S74" s="2014"/>
      <c r="T74" s="2014"/>
      <c r="U74" s="2014"/>
      <c r="V74" s="2014"/>
    </row>
    <row r="75" spans="1:22" ht="24">
      <c r="A75" s="359" t="s">
        <v>418</v>
      </c>
      <c r="B75" s="3304" t="s">
        <v>419</v>
      </c>
      <c r="C75" s="3305"/>
      <c r="D75" s="364">
        <v>0</v>
      </c>
      <c r="E75" s="41" t="s">
        <v>420</v>
      </c>
      <c r="F75" s="365"/>
      <c r="G75" s="361"/>
      <c r="H75" s="42"/>
      <c r="I75" s="42"/>
      <c r="J75" s="2021"/>
      <c r="K75" s="3003">
        <f>IF(H77="非个人房产","",4)</f>
        <v>4</v>
      </c>
      <c r="L75" s="3297" t="str">
        <f>IF(H77="非个人房产","——","个人所得税")</f>
        <v>个人所得税</v>
      </c>
      <c r="M75" s="3297"/>
      <c r="N75" s="1296">
        <f ca="1">D77</f>
        <v>161</v>
      </c>
      <c r="O75" s="1858" t="str">
        <f>E77</f>
        <v>销售额×税（费）率</v>
      </c>
      <c r="P75" s="1297">
        <f>F77</f>
        <v>0.01</v>
      </c>
      <c r="Q75" s="2014"/>
      <c r="R75" s="2014"/>
      <c r="S75" s="2014"/>
      <c r="T75" s="2014"/>
      <c r="U75" s="2014"/>
      <c r="V75" s="2014"/>
    </row>
    <row r="76" spans="1:22" ht="24.75">
      <c r="A76" s="359" t="s">
        <v>396</v>
      </c>
      <c r="B76" s="3304" t="s">
        <v>422</v>
      </c>
      <c r="C76" s="3346"/>
      <c r="D76" s="362">
        <f ca="1">IF(H76="转让取得",C99,C115)</f>
        <v>8454</v>
      </c>
      <c r="E76" s="17" t="s">
        <v>423</v>
      </c>
      <c r="F76" s="53" t="s">
        <v>21</v>
      </c>
      <c r="G76" s="361"/>
      <c r="H76" s="363" t="s">
        <v>424</v>
      </c>
      <c r="I76" s="42"/>
      <c r="J76" s="2021"/>
      <c r="K76" s="3003" t="str">
        <f>IF(项目基本情况!K6="上海银行",IF(K75="",4,K75+1),"")</f>
        <v/>
      </c>
      <c r="L76" s="3285" t="str">
        <f>IF(项目基本情况!K6="上海银行","其他处置费用","")</f>
        <v/>
      </c>
      <c r="M76" s="3286"/>
      <c r="N76" s="1292" t="str">
        <f>IF(项目基本情况!K6="上海银行",N89,"")</f>
        <v/>
      </c>
      <c r="O76" s="3287" t="str">
        <f>IF(项目基本情况!K6="上海银行","包含处置中涉及的律师、诉讼、拍卖、评估等费用","")</f>
        <v/>
      </c>
      <c r="P76" s="3288"/>
      <c r="Q76" s="2014"/>
      <c r="R76" s="2014"/>
      <c r="S76" s="2014"/>
      <c r="T76" s="2014"/>
      <c r="U76" s="2014"/>
      <c r="V76" s="2014"/>
    </row>
    <row r="77" spans="1:22" ht="26.25" thickBot="1">
      <c r="A77" s="3315" t="s">
        <v>426</v>
      </c>
      <c r="B77" s="3316"/>
      <c r="C77" s="3316"/>
      <c r="D77" s="366">
        <f ca="1">IF(H77="非个人房产","——",IF(H77="个人住宅",0,ROUND(D63*I77,0)))</f>
        <v>161</v>
      </c>
      <c r="E77" s="367" t="str">
        <f>IF(H77="非个人房产","——","销售额×税（费）率")</f>
        <v>销售额×税（费）率</v>
      </c>
      <c r="F77" s="368">
        <f>IF(H77="非个人房产","——",IF(H77="个人住宅","免征",I77))</f>
        <v>0.01</v>
      </c>
      <c r="G77" s="984" t="s">
        <v>417</v>
      </c>
      <c r="H77" s="363" t="s">
        <v>2884</v>
      </c>
      <c r="I77" s="369">
        <v>0.01</v>
      </c>
      <c r="J77" s="2021"/>
      <c r="K77" s="3311">
        <f>IF(AND(K75="",K76=""),4,IF(项目基本情况!K6="上海银行",K76+1,K75+1))</f>
        <v>5</v>
      </c>
      <c r="L77" s="3297" t="s">
        <v>2885</v>
      </c>
      <c r="M77" s="3009" t="s">
        <v>421</v>
      </c>
      <c r="N77" s="1298"/>
      <c r="O77" s="1299">
        <f ca="1">SUMIF(N72:N76,"&lt;9e307")</f>
        <v>9473</v>
      </c>
      <c r="P77" s="1300"/>
      <c r="Q77" s="3007">
        <f ca="1">O77/N69</f>
        <v>0.35315389203698183</v>
      </c>
      <c r="R77" s="2014"/>
      <c r="S77" s="2014"/>
      <c r="T77" s="2014"/>
      <c r="U77" s="2014"/>
      <c r="V77" s="2014"/>
    </row>
    <row r="78" spans="1:22" ht="12" customHeight="1">
      <c r="A78" s="1301"/>
      <c r="B78" s="311"/>
      <c r="C78" s="311"/>
      <c r="D78" s="311"/>
      <c r="E78" s="42"/>
      <c r="F78" s="42"/>
      <c r="G78" s="42"/>
      <c r="H78" s="1003"/>
      <c r="I78" s="311"/>
      <c r="J78" s="2021"/>
      <c r="K78" s="3311"/>
      <c r="L78" s="3297"/>
      <c r="M78" s="3009" t="s">
        <v>425</v>
      </c>
      <c r="N78" s="1298"/>
      <c r="O78" s="1299" t="str">
        <f ca="1">NUMBERSTRING(INT(O77*10000),2)&amp;"元整"</f>
        <v>玖仟肆佰柒拾叁万元整</v>
      </c>
      <c r="P78" s="1300"/>
      <c r="Q78" s="2014"/>
      <c r="R78" s="2014"/>
      <c r="S78" s="2014"/>
      <c r="T78" s="2014"/>
      <c r="U78" s="2014"/>
      <c r="V78" s="2014"/>
    </row>
    <row r="79" spans="1:22" ht="13.5" thickBot="1">
      <c r="A79" s="3301" t="s">
        <v>427</v>
      </c>
      <c r="B79" s="3301"/>
      <c r="C79" s="3301"/>
      <c r="D79" s="3301"/>
      <c r="E79" s="3301"/>
      <c r="F79" s="42"/>
      <c r="G79" s="42"/>
      <c r="H79" s="1003"/>
      <c r="I79" s="311"/>
      <c r="J79" s="2021"/>
      <c r="K79" s="3295">
        <f>K77+1</f>
        <v>6</v>
      </c>
      <c r="L79" s="3297" t="s">
        <v>2886</v>
      </c>
      <c r="M79" s="3009" t="s">
        <v>421</v>
      </c>
      <c r="N79" s="1298"/>
      <c r="O79" s="1299">
        <f ca="1">N69-O77</f>
        <v>17351</v>
      </c>
      <c r="P79" s="1300"/>
      <c r="Q79" s="2014"/>
      <c r="R79" s="2014"/>
      <c r="S79" s="2014"/>
      <c r="T79" s="2014"/>
      <c r="U79" s="2014"/>
      <c r="V79" s="2014"/>
    </row>
    <row r="80" spans="1:22" ht="25.5">
      <c r="A80" s="3302" t="s">
        <v>428</v>
      </c>
      <c r="B80" s="3303"/>
      <c r="C80" s="994"/>
      <c r="D80" s="994" t="s">
        <v>429</v>
      </c>
      <c r="E80" s="370" t="s">
        <v>430</v>
      </c>
      <c r="F80" s="42"/>
      <c r="G80" s="42"/>
      <c r="H80" s="1003"/>
      <c r="I80" s="311"/>
      <c r="J80" s="2014"/>
      <c r="K80" s="3296"/>
      <c r="L80" s="3297"/>
      <c r="M80" s="3009" t="s">
        <v>425</v>
      </c>
      <c r="N80" s="1298"/>
      <c r="O80" s="1299" t="str">
        <f ca="1">NUMBERSTRING(INT(O79*10000),2)&amp;"元整"</f>
        <v>壹亿柒仟叁佰伍拾壹万元整</v>
      </c>
      <c r="P80" s="1300"/>
      <c r="Q80" s="2014"/>
      <c r="R80" s="2014"/>
      <c r="S80" s="2014"/>
      <c r="T80" s="2014"/>
      <c r="U80" s="2014"/>
      <c r="V80" s="2014"/>
    </row>
    <row r="81" spans="1:26" ht="13.5" thickBot="1">
      <c r="A81" s="381" t="s">
        <v>1823</v>
      </c>
      <c r="B81" s="371" t="s">
        <v>431</v>
      </c>
      <c r="C81" s="372">
        <f ca="1">ROUND((C82+C83)/(1+'数据-取费表'!C42),0)</f>
        <v>15328</v>
      </c>
      <c r="D81" s="373"/>
      <c r="E81" s="374"/>
      <c r="F81" s="42"/>
      <c r="G81" s="42"/>
      <c r="H81" s="1003"/>
      <c r="I81" s="311"/>
      <c r="J81" s="2014"/>
      <c r="K81" s="3003">
        <f>K79+1</f>
        <v>7</v>
      </c>
      <c r="L81" s="3309" t="s">
        <v>2887</v>
      </c>
      <c r="M81" s="3310"/>
      <c r="N81" s="1302"/>
      <c r="O81" s="1303">
        <f ca="1">ROUND(O79*10000/'数据-汇总表'!E3,0)</f>
        <v>2000</v>
      </c>
      <c r="P81" s="1304"/>
      <c r="Q81" s="2014"/>
      <c r="R81" s="2014"/>
      <c r="S81" s="2014"/>
      <c r="T81" s="2014"/>
      <c r="U81" s="2014"/>
      <c r="V81" s="2014"/>
    </row>
    <row r="82" spans="1:26" ht="13.5" thickTop="1">
      <c r="A82" s="375" t="s">
        <v>1824</v>
      </c>
      <c r="B82" s="376" t="s">
        <v>432</v>
      </c>
      <c r="C82" s="377">
        <f ca="1">D63</f>
        <v>16094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4" t="s">
        <v>2874</v>
      </c>
      <c r="L83" s="3015" t="s">
        <v>2875</v>
      </c>
      <c r="M83" s="3005">
        <f ca="1">IF(N69&gt;10000,N69*0.5%,IF(AND(N69&gt;1000,N69&lt;=10000),N69*1%,IF(AND(N69&gt;100,N69&lt;=1000),N69*3%,IF(AND(N69&gt;10,N69&lt;=100),N69*5%,N69*8%))))</f>
        <v>134.12</v>
      </c>
      <c r="N83" s="53">
        <f ca="1">ROUND(M83,1)</f>
        <v>134.1</v>
      </c>
      <c r="O83" s="3008"/>
      <c r="P83" s="2014"/>
      <c r="Q83" s="2014"/>
      <c r="R83" s="2014"/>
      <c r="S83" s="2014"/>
      <c r="T83" s="2014"/>
      <c r="U83" s="2014"/>
      <c r="V83" s="2014"/>
    </row>
    <row r="84" spans="1:26" ht="12.75">
      <c r="A84" s="381" t="s">
        <v>1826</v>
      </c>
      <c r="B84" s="382" t="s">
        <v>434</v>
      </c>
      <c r="C84" s="383">
        <v>2000</v>
      </c>
      <c r="D84" s="384" t="s">
        <v>19</v>
      </c>
      <c r="E84" s="3050" t="s">
        <v>2939</v>
      </c>
      <c r="F84" s="42"/>
      <c r="G84" s="42"/>
      <c r="H84" s="1003"/>
      <c r="I84" s="311"/>
      <c r="J84" s="2014"/>
      <c r="K84" s="3284"/>
      <c r="L84" s="3015" t="s">
        <v>2876</v>
      </c>
      <c r="M84" s="3005">
        <f ca="1">IF(N69&gt;2000,N69*0.5%,IF(AND(N69&gt;1000,N69&lt;=2000),N69*0.6%,IF(AND(N69&gt;500,N69&lt;=1000),N69*0.7%,IF(AND(N69&gt;200,N69&lt;=500),N69*0.8%,IF(AND(N69&gt;100,N69&lt;=200),N69*0.9%,IF(AND(N69&gt;50,N69&lt;=100),N69*1%,IF(AND(N69&gt;20,N69&lt;=50),N69*1.5%,IF(AND(N69&gt;10,N69&lt;=20),N69*2%,IF(AND(N69&gt;1,N69&lt;=10),N69*2.5%)))))))))</f>
        <v>134.12</v>
      </c>
      <c r="N84" s="53">
        <f t="shared" ref="N84:N85" ca="1" si="2">ROUND(M84,1)</f>
        <v>134.1</v>
      </c>
      <c r="O84" s="2014" t="s">
        <v>2877</v>
      </c>
      <c r="P84" s="2014"/>
      <c r="Q84" s="2014"/>
      <c r="R84" s="2014"/>
      <c r="S84" s="2014"/>
      <c r="T84" s="2014"/>
      <c r="U84" s="2014"/>
      <c r="V84" s="2014"/>
    </row>
    <row r="85" spans="1:26" ht="12.75">
      <c r="A85" s="381" t="s">
        <v>1827</v>
      </c>
      <c r="B85" s="382" t="s">
        <v>435</v>
      </c>
      <c r="C85" s="385">
        <f ca="1">C81-C84</f>
        <v>13328</v>
      </c>
      <c r="D85" s="378" t="s">
        <v>19</v>
      </c>
      <c r="E85" s="379"/>
      <c r="F85" s="42"/>
      <c r="G85" s="42"/>
      <c r="H85" s="1003"/>
      <c r="I85" s="311"/>
      <c r="J85" s="2014"/>
      <c r="K85" s="3284"/>
      <c r="L85" s="3015" t="s">
        <v>2878</v>
      </c>
      <c r="M85" s="3005">
        <f ca="1">IF(N69&gt;1000,N69*0.1%,IF(AND(N69&gt;500,N69&lt;=1000),N69*0.5%,IF(AND(N69&gt;50,N69&lt;=500),N69*1%,IF(AND(N69&gt;1,N69&lt;=50),N69*1.5%))))</f>
        <v>26.824000000000002</v>
      </c>
      <c r="N85" s="53">
        <f t="shared" ca="1" si="2"/>
        <v>26.8</v>
      </c>
      <c r="O85" s="2014" t="s">
        <v>2877</v>
      </c>
      <c r="P85" s="2014"/>
      <c r="Q85" s="2014"/>
      <c r="R85" s="2014"/>
      <c r="S85" s="2014"/>
      <c r="T85" s="2014"/>
      <c r="U85" s="2014"/>
      <c r="V85" s="2014"/>
    </row>
    <row r="86" spans="1:26" ht="13.5" thickBot="1">
      <c r="A86" s="386" t="s">
        <v>1828</v>
      </c>
      <c r="B86" s="387" t="s">
        <v>436</v>
      </c>
      <c r="C86" s="388">
        <f ca="1">IF(C85&lt;=0,0,ROUND(C85*D86,0))</f>
        <v>746</v>
      </c>
      <c r="D86" s="389">
        <f>'数据-取费表'!B41</f>
        <v>5.6000000000000001E-2</v>
      </c>
      <c r="E86" s="390"/>
      <c r="F86" s="42"/>
      <c r="G86" s="42"/>
      <c r="H86" s="1003"/>
      <c r="I86" s="311"/>
      <c r="J86" s="2014"/>
      <c r="K86" s="3284"/>
      <c r="L86" s="3015" t="s">
        <v>2879</v>
      </c>
      <c r="M86" s="3005">
        <f ca="1">N69*0.5%</f>
        <v>134.12</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4"/>
      <c r="L87" s="3015" t="s">
        <v>2881</v>
      </c>
      <c r="M87" s="3005">
        <f ca="1">IF(N69&gt;=10000,(8.25+(N69-10000)*0.01%),IF(AND(N69&gt;=8000,N69&lt;10000),(7.85+(N69-8000)*0.02%),IF(AND(N69&gt;=5000,N69&lt;8000),(6.65+(N69-5000)*0.04%),IF(AND(N69&gt;=2000,N69&lt;5000),(4.25+(PN69-2000)*0.08%),IF(AND(N69&gt;=1000,N69&lt;2000),(2.75+(N69-1000)*0.15%),IF(AND(N69&gt;=100,N69&lt;1000),(0.5+(N69-100)*0.25%),IF(AND(N69&gt;0,N69&lt;100),N69*0.5%)))))))</f>
        <v>9.9323999999999995</v>
      </c>
      <c r="N87" s="53">
        <f ca="1">ROUND(M87*0.9,1)</f>
        <v>8.9</v>
      </c>
      <c r="O87" s="3008"/>
      <c r="P87" s="311"/>
      <c r="Q87" s="2014"/>
      <c r="R87" s="2014"/>
      <c r="S87" s="2014"/>
      <c r="T87" s="2014"/>
      <c r="U87" s="2014"/>
      <c r="V87" s="2014"/>
      <c r="W87" s="292"/>
      <c r="X87" s="292"/>
      <c r="Y87" s="292"/>
      <c r="Z87" s="292"/>
    </row>
    <row r="88" spans="1:26" s="1310" customFormat="1" ht="15" thickBot="1">
      <c r="A88" s="3338" t="s">
        <v>437</v>
      </c>
      <c r="B88" s="3339"/>
      <c r="C88" s="3339"/>
      <c r="D88" s="3339"/>
      <c r="E88" s="3339"/>
      <c r="F88" s="3339"/>
      <c r="G88" s="3339"/>
      <c r="H88" s="3339"/>
      <c r="I88" s="1311"/>
      <c r="J88" s="2022"/>
      <c r="K88" s="3284"/>
      <c r="L88" s="3015" t="s">
        <v>2882</v>
      </c>
      <c r="M88" s="3005">
        <f ca="1">IF(N69&gt;10000,N69*0.5%,IF(AND(N69&gt;5000,N69&lt;=10000),N69*1%,IF(AND(N69&gt;1000,N69&lt;=5000),N69*2%,IF(AND(N69&gt;200,N69&lt;=1000),N69*3%,N69*5%))))</f>
        <v>134.12</v>
      </c>
      <c r="N88" s="53">
        <f ca="1">ROUND(M88,1)</f>
        <v>134.1</v>
      </c>
      <c r="O88" s="3008"/>
      <c r="P88" s="11"/>
      <c r="Q88" s="2019"/>
      <c r="R88" s="2019"/>
      <c r="S88" s="2019"/>
      <c r="T88" s="2019"/>
      <c r="U88" s="2019"/>
      <c r="V88" s="2019"/>
      <c r="W88" s="2023"/>
      <c r="X88" s="2023"/>
      <c r="Y88" s="2023"/>
      <c r="Z88" s="2023"/>
    </row>
    <row r="89" spans="1:26" s="1310" customFormat="1" ht="14.25">
      <c r="A89" s="3302" t="s">
        <v>428</v>
      </c>
      <c r="B89" s="3303"/>
      <c r="C89" s="994"/>
      <c r="D89" s="994" t="s">
        <v>429</v>
      </c>
      <c r="E89" s="391" t="s">
        <v>438</v>
      </c>
      <c r="F89" s="392"/>
      <c r="G89" s="392"/>
      <c r="H89" s="393"/>
      <c r="I89" s="1312"/>
      <c r="J89" s="2024"/>
      <c r="K89" s="3284"/>
      <c r="L89" s="3015" t="s">
        <v>27</v>
      </c>
      <c r="M89" s="3006"/>
      <c r="N89" s="53">
        <f ca="1">ROUND(SUM(N83:N88),0)</f>
        <v>439</v>
      </c>
      <c r="O89" s="3016">
        <f ca="1">N89/N69</f>
        <v>1.6365940948404413E-2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15328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2653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5" t="s">
        <v>447</v>
      </c>
      <c r="F94" s="3336"/>
      <c r="G94" s="3336"/>
      <c r="H94" s="333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92</v>
      </c>
      <c r="D96" s="406">
        <f>'数据-取费表'!B43</f>
        <v>6.000000000000001E-3</v>
      </c>
      <c r="E96" s="3325" t="s">
        <v>2428</v>
      </c>
      <c r="F96" s="3326"/>
      <c r="G96" s="3326"/>
      <c r="H96" s="332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12675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4.7776102525442896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6676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8" t="s">
        <v>454</v>
      </c>
      <c r="B101" s="3339"/>
      <c r="C101" s="3339"/>
      <c r="D101" s="3339"/>
      <c r="E101" s="3339"/>
      <c r="F101" s="3339"/>
      <c r="G101" s="3339"/>
      <c r="H101" s="333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02" t="s">
        <v>428</v>
      </c>
      <c r="B102" s="330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15328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782</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8" t="s">
        <v>462</v>
      </c>
      <c r="F109" s="3326"/>
      <c r="G109" s="3326"/>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8" t="s">
        <v>464</v>
      </c>
      <c r="F110" s="3326"/>
      <c r="G110" s="3326"/>
      <c r="H110" s="332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92</v>
      </c>
      <c r="D111" s="406">
        <f>'数据-取费表'!B43</f>
        <v>6.000000000000001E-3</v>
      </c>
      <c r="E111" s="3325" t="s">
        <v>2428</v>
      </c>
      <c r="F111" s="3326"/>
      <c r="G111" s="3326"/>
      <c r="H111" s="332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8" t="s">
        <v>2453</v>
      </c>
      <c r="F112" s="3326"/>
      <c r="G112" s="3326"/>
      <c r="H112" s="332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14546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18.601023017902815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8454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M23" sqref="M2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19230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2217</v>
      </c>
      <c r="C3" s="2047"/>
      <c r="D3" s="2532"/>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4434</v>
      </c>
      <c r="C4" s="2047"/>
      <c r="D4" s="2532"/>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296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3" t="s">
        <v>522</v>
      </c>
      <c r="D6" s="3384"/>
      <c r="E6" s="3383" t="s">
        <v>523</v>
      </c>
      <c r="F6" s="3384"/>
      <c r="G6" s="3383" t="s">
        <v>524</v>
      </c>
      <c r="H6" s="3384"/>
      <c r="I6" s="3383" t="s">
        <v>525</v>
      </c>
      <c r="J6" s="3384"/>
      <c r="K6" s="514" t="s">
        <v>526</v>
      </c>
      <c r="L6" s="2119"/>
      <c r="M6" s="2118"/>
      <c r="N6" s="2118"/>
      <c r="O6" s="2120"/>
      <c r="P6" s="3385" t="s">
        <v>527</v>
      </c>
      <c r="Q6" s="3386"/>
      <c r="R6" s="3371" t="s">
        <v>523</v>
      </c>
      <c r="S6" s="3372"/>
      <c r="T6" s="3371" t="s">
        <v>524</v>
      </c>
      <c r="U6" s="3372"/>
      <c r="V6" s="3391" t="s">
        <v>525</v>
      </c>
      <c r="W6" s="3391"/>
      <c r="X6" s="1554"/>
      <c r="Y6" s="3371" t="s">
        <v>527</v>
      </c>
      <c r="Z6" s="3372"/>
      <c r="AA6" s="3366" t="s">
        <v>523</v>
      </c>
      <c r="AB6" s="3367" t="s">
        <v>524</v>
      </c>
      <c r="AC6" s="3366" t="s">
        <v>525</v>
      </c>
    </row>
    <row r="7" spans="1:30" ht="20.25">
      <c r="A7" s="515"/>
      <c r="B7" s="516"/>
      <c r="C7" s="3394" t="s">
        <v>2928</v>
      </c>
      <c r="D7" s="3395"/>
      <c r="E7" s="3394" t="str">
        <f>土地案例!A13</f>
        <v>青白江区青白江大道以东、华金大道以南</v>
      </c>
      <c r="F7" s="3395"/>
      <c r="G7" s="3394" t="str">
        <f>土地案例!A15</f>
        <v>青白江区通汇大道以西、兴业大道以北</v>
      </c>
      <c r="H7" s="3395"/>
      <c r="I7" s="3394" t="str">
        <f>土地案例!A16</f>
        <v>青白江区清泉大道以西、华金大道四段以南</v>
      </c>
      <c r="J7" s="3395"/>
      <c r="K7" s="514"/>
      <c r="L7" s="2119"/>
      <c r="M7" s="2118"/>
      <c r="N7" s="2118"/>
      <c r="O7" s="2120"/>
      <c r="P7" s="3387"/>
      <c r="Q7" s="3388"/>
      <c r="R7" s="3373"/>
      <c r="S7" s="3374"/>
      <c r="T7" s="3373"/>
      <c r="U7" s="3374"/>
      <c r="V7" s="3391"/>
      <c r="W7" s="3391"/>
      <c r="X7" s="1554"/>
      <c r="Y7" s="3373"/>
      <c r="Z7" s="3374"/>
      <c r="AA7" s="3367"/>
      <c r="AB7" s="3367"/>
      <c r="AC7" s="3367"/>
    </row>
    <row r="8" spans="1:30" ht="21" thickBot="1">
      <c r="A8" s="515"/>
      <c r="B8" s="516"/>
      <c r="C8" s="3396" t="s">
        <v>2932</v>
      </c>
      <c r="D8" s="3397"/>
      <c r="E8" s="3396" t="s">
        <v>2932</v>
      </c>
      <c r="F8" s="3397"/>
      <c r="G8" s="3392" t="s">
        <v>2932</v>
      </c>
      <c r="H8" s="3393"/>
      <c r="I8" s="3392" t="s">
        <v>2932</v>
      </c>
      <c r="J8" s="3393"/>
      <c r="K8" s="514" t="s">
        <v>528</v>
      </c>
      <c r="L8" s="2119"/>
      <c r="M8" s="2118"/>
      <c r="N8" s="2118"/>
      <c r="O8" s="2120"/>
      <c r="P8" s="3389"/>
      <c r="Q8" s="3390"/>
      <c r="R8" s="3373"/>
      <c r="S8" s="3374"/>
      <c r="T8" s="3375"/>
      <c r="U8" s="3376"/>
      <c r="V8" s="3391"/>
      <c r="W8" s="3391"/>
      <c r="X8" s="1554"/>
      <c r="Y8" s="3375"/>
      <c r="Z8" s="3376"/>
      <c r="AA8" s="3368"/>
      <c r="AB8" s="3368"/>
      <c r="AC8" s="3368"/>
    </row>
    <row r="9" spans="1:30" s="1216" customFormat="1" ht="21" thickBot="1">
      <c r="A9" s="2865"/>
      <c r="B9" s="2872" t="s">
        <v>529</v>
      </c>
      <c r="C9" s="2864">
        <f>'数据-取费表'!B2</f>
        <v>43599</v>
      </c>
      <c r="D9" s="520">
        <v>100</v>
      </c>
      <c r="E9" s="521" t="str">
        <f>土地案例!L13</f>
        <v>2017-12-20</v>
      </c>
      <c r="F9" s="522">
        <f>SUMIF(72:72,YEAR(E9)&amp;"-"&amp;INT((MONTH(E9)+2)/3),73:73)</f>
        <v>94</v>
      </c>
      <c r="G9" s="523" t="str">
        <f>土地案例!L15</f>
        <v>2017-12-20</v>
      </c>
      <c r="H9" s="520">
        <f>SUMIF(72:72,YEAR(G9)&amp;"-"&amp;INT((MONTH(G9)+2)/3),73:73)</f>
        <v>94</v>
      </c>
      <c r="I9" s="523" t="str">
        <f>土地案例!L16</f>
        <v>2017-12-20</v>
      </c>
      <c r="J9" s="520">
        <f>SUMIF(72:72,YEAR(I9)&amp;"-"&amp;INT((MONTH(I9)+2)/3),73:73)</f>
        <v>94</v>
      </c>
      <c r="K9" s="524"/>
      <c r="L9" s="2121"/>
      <c r="M9" s="2118"/>
      <c r="N9" s="2118"/>
      <c r="O9" s="2122"/>
      <c r="P9" s="3369" t="s">
        <v>530</v>
      </c>
      <c r="Q9" s="3378"/>
      <c r="R9" s="1555" t="s">
        <v>8</v>
      </c>
      <c r="S9" s="1556">
        <f t="shared" ref="S9:S17" si="0">F9</f>
        <v>94</v>
      </c>
      <c r="T9" s="1555" t="s">
        <v>8</v>
      </c>
      <c r="U9" s="1556">
        <f t="shared" ref="U9:U17" si="1">H9</f>
        <v>94</v>
      </c>
      <c r="V9" s="1555" t="s">
        <v>8</v>
      </c>
      <c r="W9" s="1556">
        <f t="shared" ref="W9:W17" si="2">J9</f>
        <v>94</v>
      </c>
      <c r="X9" s="1557"/>
      <c r="Y9" s="3369" t="s">
        <v>530</v>
      </c>
      <c r="Z9" s="3370"/>
      <c r="AA9" s="1558">
        <f>D9/F9</f>
        <v>1.0638297872340425</v>
      </c>
      <c r="AB9" s="1558">
        <f>D9/H9</f>
        <v>1.0638297872340425</v>
      </c>
      <c r="AC9" s="1558">
        <f>D9/J9</f>
        <v>1.0638297872340425</v>
      </c>
    </row>
    <row r="10" spans="1:30" s="1216" customFormat="1" ht="21" thickBot="1">
      <c r="A10" s="2866"/>
      <c r="B10" s="2873"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9" t="s">
        <v>533</v>
      </c>
      <c r="Q10" s="3370"/>
      <c r="R10" s="1555" t="s">
        <v>8</v>
      </c>
      <c r="S10" s="1556">
        <f t="shared" si="0"/>
        <v>100</v>
      </c>
      <c r="T10" s="1555" t="s">
        <v>8</v>
      </c>
      <c r="U10" s="1556">
        <f t="shared" si="1"/>
        <v>100</v>
      </c>
      <c r="V10" s="1555" t="s">
        <v>8</v>
      </c>
      <c r="W10" s="1556">
        <f t="shared" si="2"/>
        <v>100</v>
      </c>
      <c r="X10" s="1557"/>
      <c r="Y10" s="3369" t="s">
        <v>533</v>
      </c>
      <c r="Z10" s="3370"/>
      <c r="AA10" s="1558">
        <f t="shared" ref="AA10:AA47" si="3">D10/F10</f>
        <v>1</v>
      </c>
      <c r="AB10" s="1558">
        <f t="shared" ref="AB10:AB47" si="4">D10/H10</f>
        <v>1</v>
      </c>
      <c r="AC10" s="1558">
        <f t="shared" ref="AC10:AC47" si="5">D10/J10</f>
        <v>1</v>
      </c>
    </row>
    <row r="11" spans="1:30" s="1216" customFormat="1" ht="20.25">
      <c r="A11" s="2867"/>
      <c r="B11" s="2874" t="s">
        <v>2756</v>
      </c>
      <c r="C11" s="2861"/>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7" t="s">
        <v>535</v>
      </c>
      <c r="Q11" s="1147" t="str">
        <f t="shared" ref="Q11:Q17" si="6">B11</f>
        <v>用途</v>
      </c>
      <c r="R11" s="1555" t="s">
        <v>8</v>
      </c>
      <c r="S11" s="1556">
        <f t="shared" si="0"/>
        <v>100</v>
      </c>
      <c r="T11" s="1555" t="s">
        <v>8</v>
      </c>
      <c r="U11" s="1556">
        <f t="shared" si="1"/>
        <v>100</v>
      </c>
      <c r="V11" s="1555" t="s">
        <v>8</v>
      </c>
      <c r="W11" s="1556">
        <f t="shared" si="2"/>
        <v>100</v>
      </c>
      <c r="X11" s="1557"/>
      <c r="Y11" s="3334" t="s">
        <v>536</v>
      </c>
      <c r="Z11" s="1146" t="str">
        <f t="shared" ref="Z11:Z17" si="7">Q11</f>
        <v>用途</v>
      </c>
      <c r="AA11" s="1558">
        <f t="shared" si="3"/>
        <v>1</v>
      </c>
      <c r="AB11" s="1558">
        <f t="shared" si="4"/>
        <v>1</v>
      </c>
      <c r="AC11" s="1558">
        <f t="shared" si="5"/>
        <v>1</v>
      </c>
    </row>
    <row r="12" spans="1:30" s="1334" customFormat="1" ht="27">
      <c r="A12" s="2868"/>
      <c r="B12" s="2873"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77"/>
      <c r="Q12" s="1147" t="str">
        <f t="shared" si="6"/>
        <v>土地使用年限（年）</v>
      </c>
      <c r="R12" s="1555" t="s">
        <v>8</v>
      </c>
      <c r="S12" s="1556">
        <f t="shared" si="0"/>
        <v>101</v>
      </c>
      <c r="T12" s="1555" t="s">
        <v>8</v>
      </c>
      <c r="U12" s="1556">
        <f t="shared" si="1"/>
        <v>101</v>
      </c>
      <c r="V12" s="1555" t="s">
        <v>8</v>
      </c>
      <c r="W12" s="1556">
        <f t="shared" si="2"/>
        <v>101</v>
      </c>
      <c r="X12" s="1557"/>
      <c r="Y12" s="3334"/>
      <c r="Z12" s="1146" t="str">
        <f t="shared" si="7"/>
        <v>土地使用年限（年）</v>
      </c>
      <c r="AA12" s="1558">
        <f t="shared" si="3"/>
        <v>0.99009900990099009</v>
      </c>
      <c r="AB12" s="1558">
        <f t="shared" si="4"/>
        <v>0.99009900990099009</v>
      </c>
      <c r="AC12" s="1558">
        <f t="shared" si="5"/>
        <v>0.99009900990099009</v>
      </c>
    </row>
    <row r="13" spans="1:30" ht="20.25">
      <c r="A13" s="2869"/>
      <c r="B13" s="3194" t="s">
        <v>2758</v>
      </c>
      <c r="C13" s="534">
        <f>'数据-汇总表'!I6</f>
        <v>2</v>
      </c>
      <c r="D13" s="255">
        <v>100</v>
      </c>
      <c r="E13" s="533">
        <v>3</v>
      </c>
      <c r="F13" s="255">
        <f>LOOKUP(E13,82:82,83:83)-LOOKUP(C13,82:82,83:83)+100</f>
        <v>95</v>
      </c>
      <c r="G13" s="534">
        <v>3</v>
      </c>
      <c r="H13" s="255">
        <f>LOOKUP(G13,82:82,83:83)-LOOKUP(C13,82:82,83:83)+100</f>
        <v>95</v>
      </c>
      <c r="I13" s="533">
        <v>3</v>
      </c>
      <c r="J13" s="255">
        <f>LOOKUP(I13,82:82,83:83)-LOOKUP(C13,82:82,83:83)+100</f>
        <v>95</v>
      </c>
      <c r="K13" s="3195">
        <v>5</v>
      </c>
      <c r="L13" s="2126"/>
      <c r="M13" s="2118"/>
      <c r="N13" s="2118"/>
      <c r="O13" s="2127"/>
      <c r="P13" s="3377"/>
      <c r="Q13" s="1147" t="str">
        <f t="shared" si="6"/>
        <v>容积率</v>
      </c>
      <c r="R13" s="1555" t="s">
        <v>8</v>
      </c>
      <c r="S13" s="1556">
        <f t="shared" si="0"/>
        <v>95</v>
      </c>
      <c r="T13" s="1555" t="s">
        <v>8</v>
      </c>
      <c r="U13" s="1556">
        <f t="shared" si="1"/>
        <v>95</v>
      </c>
      <c r="V13" s="1555" t="s">
        <v>8</v>
      </c>
      <c r="W13" s="1556">
        <f t="shared" si="2"/>
        <v>95</v>
      </c>
      <c r="X13" s="1557"/>
      <c r="Y13" s="3334"/>
      <c r="Z13" s="1146" t="str">
        <f t="shared" si="7"/>
        <v>容积率</v>
      </c>
      <c r="AA13" s="1558">
        <f t="shared" si="3"/>
        <v>1.0526315789473684</v>
      </c>
      <c r="AB13" s="1558">
        <f t="shared" si="4"/>
        <v>1.0526315789473684</v>
      </c>
      <c r="AC13" s="1558">
        <f t="shared" si="5"/>
        <v>1.0526315789473684</v>
      </c>
    </row>
    <row r="14" spans="1:30" s="1216" customFormat="1" ht="20.25" hidden="1">
      <c r="A14" s="2866"/>
      <c r="B14" s="2875" t="s">
        <v>2759</v>
      </c>
      <c r="C14" s="2862"/>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7"/>
      <c r="Q14" s="1147" t="str">
        <f t="shared" si="6"/>
        <v>配建</v>
      </c>
      <c r="R14" s="1555" t="s">
        <v>8</v>
      </c>
      <c r="S14" s="1556">
        <f t="shared" si="0"/>
        <v>100</v>
      </c>
      <c r="T14" s="1555" t="s">
        <v>8</v>
      </c>
      <c r="U14" s="1556">
        <f t="shared" si="1"/>
        <v>100</v>
      </c>
      <c r="V14" s="1555" t="s">
        <v>8</v>
      </c>
      <c r="W14" s="1556">
        <f t="shared" si="2"/>
        <v>100</v>
      </c>
      <c r="X14" s="1557"/>
      <c r="Y14" s="3334"/>
      <c r="Z14" s="1146" t="str">
        <f t="shared" si="7"/>
        <v>配建</v>
      </c>
      <c r="AA14" s="1558">
        <f>D14/F14</f>
        <v>1</v>
      </c>
      <c r="AB14" s="1558">
        <f>D14/H14</f>
        <v>1</v>
      </c>
      <c r="AC14" s="1558">
        <f>D14/J14</f>
        <v>1</v>
      </c>
    </row>
    <row r="15" spans="1:30" ht="20.25" hidden="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7"/>
      <c r="Q15" s="1147">
        <f t="shared" si="6"/>
        <v>111</v>
      </c>
      <c r="R15" s="1555" t="s">
        <v>8</v>
      </c>
      <c r="S15" s="1556">
        <f t="shared" si="0"/>
        <v>100</v>
      </c>
      <c r="T15" s="1555" t="s">
        <v>8</v>
      </c>
      <c r="U15" s="1556">
        <f t="shared" si="1"/>
        <v>100</v>
      </c>
      <c r="V15" s="1555" t="s">
        <v>8</v>
      </c>
      <c r="W15" s="1556">
        <f t="shared" si="2"/>
        <v>100</v>
      </c>
      <c r="X15" s="1557"/>
      <c r="Y15" s="3334"/>
      <c r="Z15" s="1146">
        <f t="shared" si="7"/>
        <v>111</v>
      </c>
      <c r="AA15" s="1558">
        <f>D15/F15</f>
        <v>1</v>
      </c>
      <c r="AB15" s="1558">
        <f>D15/H15</f>
        <v>1</v>
      </c>
      <c r="AC15" s="1558">
        <f>D15/J15</f>
        <v>1</v>
      </c>
    </row>
    <row r="16" spans="1:30" ht="21" hidden="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7"/>
      <c r="Q16" s="1147">
        <f t="shared" si="6"/>
        <v>111</v>
      </c>
      <c r="R16" s="1555" t="s">
        <v>8</v>
      </c>
      <c r="S16" s="1556">
        <f t="shared" si="0"/>
        <v>100</v>
      </c>
      <c r="T16" s="1555" t="s">
        <v>8</v>
      </c>
      <c r="U16" s="1556">
        <f t="shared" si="1"/>
        <v>100</v>
      </c>
      <c r="V16" s="1555" t="s">
        <v>8</v>
      </c>
      <c r="W16" s="1556">
        <f t="shared" si="2"/>
        <v>100</v>
      </c>
      <c r="X16" s="1557"/>
      <c r="Y16" s="3334"/>
      <c r="Z16" s="1146">
        <f t="shared" si="7"/>
        <v>111</v>
      </c>
      <c r="AA16" s="1558">
        <f>D16/F16</f>
        <v>1</v>
      </c>
      <c r="AB16" s="1558">
        <f>D16/H16</f>
        <v>1</v>
      </c>
      <c r="AC16" s="1558">
        <f>D16/J16</f>
        <v>1</v>
      </c>
    </row>
    <row r="17" spans="1:29" ht="99.75" hidden="1">
      <c r="A17" s="286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9" t="s">
        <v>540</v>
      </c>
      <c r="Q17" s="1559" t="str">
        <f t="shared" si="6"/>
        <v>居住社区成熟度</v>
      </c>
      <c r="R17" s="1560" t="s">
        <v>8</v>
      </c>
      <c r="S17" s="1561">
        <f t="shared" si="0"/>
        <v>100</v>
      </c>
      <c r="T17" s="1560" t="s">
        <v>8</v>
      </c>
      <c r="U17" s="1561">
        <f t="shared" si="1"/>
        <v>100</v>
      </c>
      <c r="V17" s="1560" t="s">
        <v>8</v>
      </c>
      <c r="W17" s="1561">
        <f t="shared" si="2"/>
        <v>100</v>
      </c>
      <c r="X17" s="1554"/>
      <c r="Y17" s="3379"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380"/>
      <c r="Q18" s="1559"/>
      <c r="R18" s="1560"/>
      <c r="S18" s="1561"/>
      <c r="T18" s="1560"/>
      <c r="U18" s="1561"/>
      <c r="V18" s="1560"/>
      <c r="W18" s="1561"/>
      <c r="X18" s="1554"/>
      <c r="Y18" s="338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28"/>
      <c r="M19" s="2118"/>
      <c r="N19" s="2118"/>
      <c r="O19" s="2127"/>
      <c r="P19" s="3380"/>
      <c r="Q19" s="1559" t="str">
        <f>B19</f>
        <v>商业繁华度</v>
      </c>
      <c r="R19" s="1560" t="s">
        <v>8</v>
      </c>
      <c r="S19" s="1561">
        <f>F19</f>
        <v>100</v>
      </c>
      <c r="T19" s="1560" t="s">
        <v>8</v>
      </c>
      <c r="U19" s="1561">
        <f>H19</f>
        <v>100</v>
      </c>
      <c r="V19" s="1560" t="s">
        <v>8</v>
      </c>
      <c r="W19" s="1561">
        <f>J19</f>
        <v>100</v>
      </c>
      <c r="X19" s="1554"/>
      <c r="Y19" s="3380"/>
      <c r="Z19" s="1562" t="str">
        <f>Q19</f>
        <v>商业繁华度</v>
      </c>
      <c r="AA19" s="1563">
        <f t="shared" si="3"/>
        <v>1</v>
      </c>
      <c r="AB19" s="1563">
        <f t="shared" si="4"/>
        <v>1</v>
      </c>
      <c r="AC19" s="1563">
        <f t="shared" si="5"/>
        <v>1</v>
      </c>
    </row>
    <row r="20" spans="1:29" ht="20.25">
      <c r="A20" s="532"/>
      <c r="B20" s="566"/>
      <c r="C20" s="567" t="s">
        <v>3292</v>
      </c>
      <c r="D20" s="563"/>
      <c r="E20" s="567" t="s">
        <v>3292</v>
      </c>
      <c r="F20" s="559"/>
      <c r="G20" s="567" t="s">
        <v>3292</v>
      </c>
      <c r="H20" s="555"/>
      <c r="I20" s="567" t="s">
        <v>3292</v>
      </c>
      <c r="J20" s="555"/>
      <c r="K20" s="531"/>
      <c r="L20" s="2128"/>
      <c r="M20" s="2118"/>
      <c r="N20" s="2118"/>
      <c r="O20" s="2127"/>
      <c r="P20" s="3380"/>
      <c r="Q20" s="1559"/>
      <c r="R20" s="1560"/>
      <c r="S20" s="1561"/>
      <c r="T20" s="1560"/>
      <c r="U20" s="1561"/>
      <c r="V20" s="1560"/>
      <c r="W20" s="1561"/>
      <c r="X20" s="1554"/>
      <c r="Y20" s="338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28"/>
      <c r="M21" s="2118"/>
      <c r="N21" s="2118"/>
      <c r="O21" s="2127"/>
      <c r="P21" s="3380"/>
      <c r="Q21" s="1559" t="str">
        <f>B21</f>
        <v>办公集聚程度</v>
      </c>
      <c r="R21" s="1560" t="s">
        <v>8</v>
      </c>
      <c r="S21" s="1561">
        <f>F21</f>
        <v>100</v>
      </c>
      <c r="T21" s="1560" t="s">
        <v>8</v>
      </c>
      <c r="U21" s="1561">
        <f>H21</f>
        <v>100</v>
      </c>
      <c r="V21" s="1560" t="s">
        <v>8</v>
      </c>
      <c r="W21" s="1561">
        <f>J21</f>
        <v>100</v>
      </c>
      <c r="X21" s="1554"/>
      <c r="Y21" s="3380"/>
      <c r="Z21" s="1562" t="str">
        <f>Q21</f>
        <v>办公集聚程度</v>
      </c>
      <c r="AA21" s="1563">
        <f t="shared" si="3"/>
        <v>1</v>
      </c>
      <c r="AB21" s="1563">
        <f t="shared" si="4"/>
        <v>1</v>
      </c>
      <c r="AC21" s="1563">
        <f t="shared" si="5"/>
        <v>1</v>
      </c>
    </row>
    <row r="22" spans="1:29" ht="20.25">
      <c r="A22" s="532"/>
      <c r="B22" s="566"/>
      <c r="C22" s="554" t="s">
        <v>3293</v>
      </c>
      <c r="D22" s="557"/>
      <c r="E22" s="554" t="s">
        <v>3293</v>
      </c>
      <c r="F22" s="555"/>
      <c r="G22" s="554" t="s">
        <v>3293</v>
      </c>
      <c r="H22" s="555"/>
      <c r="I22" s="554" t="s">
        <v>3293</v>
      </c>
      <c r="J22" s="555"/>
      <c r="K22" s="531"/>
      <c r="L22" s="2128"/>
      <c r="M22" s="2118"/>
      <c r="N22" s="2118"/>
      <c r="O22" s="2127"/>
      <c r="P22" s="3380"/>
      <c r="Q22" s="1559"/>
      <c r="R22" s="1560"/>
      <c r="S22" s="1561"/>
      <c r="T22" s="1560"/>
      <c r="U22" s="1561"/>
      <c r="V22" s="1560"/>
      <c r="W22" s="1561"/>
      <c r="X22" s="1554"/>
      <c r="Y22" s="338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8"/>
      <c r="M23" s="2118"/>
      <c r="N23" s="2118"/>
      <c r="O23" s="2127"/>
      <c r="P23" s="3380"/>
      <c r="Q23" s="1559" t="str">
        <f>B23</f>
        <v>交通便捷度</v>
      </c>
      <c r="R23" s="1560" t="s">
        <v>8</v>
      </c>
      <c r="S23" s="1561">
        <f>F23</f>
        <v>100</v>
      </c>
      <c r="T23" s="1560" t="s">
        <v>8</v>
      </c>
      <c r="U23" s="1561">
        <f>H23</f>
        <v>100</v>
      </c>
      <c r="V23" s="1560" t="s">
        <v>8</v>
      </c>
      <c r="W23" s="1561">
        <f>J23</f>
        <v>100</v>
      </c>
      <c r="X23" s="1554"/>
      <c r="Y23" s="3380"/>
      <c r="Z23" s="1562" t="str">
        <f>Q23</f>
        <v>交通便捷度</v>
      </c>
      <c r="AA23" s="1563">
        <f t="shared" si="3"/>
        <v>1</v>
      </c>
      <c r="AB23" s="1563">
        <f t="shared" si="4"/>
        <v>1</v>
      </c>
      <c r="AC23" s="1563">
        <f t="shared" si="5"/>
        <v>1</v>
      </c>
    </row>
    <row r="24" spans="1:29" ht="20.25">
      <c r="A24" s="532"/>
      <c r="B24" s="578"/>
      <c r="C24" s="554" t="s">
        <v>3293</v>
      </c>
      <c r="D24" s="557"/>
      <c r="E24" s="554" t="s">
        <v>3293</v>
      </c>
      <c r="F24" s="555"/>
      <c r="G24" s="554" t="s">
        <v>3293</v>
      </c>
      <c r="H24" s="555"/>
      <c r="I24" s="554" t="s">
        <v>3293</v>
      </c>
      <c r="J24" s="555"/>
      <c r="K24" s="531"/>
      <c r="L24" s="2128"/>
      <c r="M24" s="2118"/>
      <c r="N24" s="2118"/>
      <c r="O24" s="2127"/>
      <c r="P24" s="3380"/>
      <c r="Q24" s="1559"/>
      <c r="R24" s="1560"/>
      <c r="S24" s="1561"/>
      <c r="T24" s="1560"/>
      <c r="U24" s="1561"/>
      <c r="V24" s="1560"/>
      <c r="W24" s="1561"/>
      <c r="X24" s="1554"/>
      <c r="Y24" s="338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8"/>
      <c r="M25" s="2118"/>
      <c r="N25" s="2118"/>
      <c r="O25" s="2127"/>
      <c r="P25" s="3380"/>
      <c r="Q25" s="1559" t="str">
        <f t="shared" ref="Q25:Q39" si="8">B25</f>
        <v>区域土地利用方向</v>
      </c>
      <c r="R25" s="1560" t="s">
        <v>8</v>
      </c>
      <c r="S25" s="1561">
        <f>F25</f>
        <v>100</v>
      </c>
      <c r="T25" s="1560" t="s">
        <v>8</v>
      </c>
      <c r="U25" s="1561">
        <f>H25</f>
        <v>100</v>
      </c>
      <c r="V25" s="1560" t="s">
        <v>8</v>
      </c>
      <c r="W25" s="1561">
        <f>J25</f>
        <v>100</v>
      </c>
      <c r="X25" s="1554"/>
      <c r="Y25" s="3380"/>
      <c r="Z25" s="1562" t="str">
        <f>Q25</f>
        <v>区域土地利用方向</v>
      </c>
      <c r="AA25" s="1563">
        <f t="shared" si="3"/>
        <v>1</v>
      </c>
      <c r="AB25" s="1563">
        <f t="shared" si="4"/>
        <v>1</v>
      </c>
      <c r="AC25" s="1563">
        <f t="shared" si="5"/>
        <v>1</v>
      </c>
    </row>
    <row r="26" spans="1:29" ht="20.25">
      <c r="A26" s="515"/>
      <c r="B26" s="1007"/>
      <c r="C26" s="554" t="s">
        <v>3292</v>
      </c>
      <c r="D26" s="557"/>
      <c r="E26" s="554" t="s">
        <v>3292</v>
      </c>
      <c r="F26" s="555"/>
      <c r="G26" s="554" t="s">
        <v>3292</v>
      </c>
      <c r="H26" s="555"/>
      <c r="I26" s="554" t="s">
        <v>3292</v>
      </c>
      <c r="J26" s="555"/>
      <c r="K26" s="531"/>
      <c r="L26" s="2128"/>
      <c r="M26" s="2118"/>
      <c r="N26" s="2118"/>
      <c r="O26" s="2127"/>
      <c r="P26" s="3380"/>
      <c r="Q26" s="1559"/>
      <c r="R26" s="1560"/>
      <c r="S26" s="1561"/>
      <c r="T26" s="1560"/>
      <c r="U26" s="1561"/>
      <c r="V26" s="1560"/>
      <c r="W26" s="1561"/>
      <c r="X26" s="1554"/>
      <c r="Y26" s="338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28"/>
      <c r="M27" s="2118"/>
      <c r="N27" s="2118"/>
      <c r="O27" s="2127"/>
      <c r="P27" s="3380"/>
      <c r="Q27" s="1559" t="str">
        <f t="shared" si="8"/>
        <v>自然及人文环境状况</v>
      </c>
      <c r="R27" s="1560" t="s">
        <v>8</v>
      </c>
      <c r="S27" s="1561">
        <f>F27</f>
        <v>100</v>
      </c>
      <c r="T27" s="1560" t="s">
        <v>8</v>
      </c>
      <c r="U27" s="1561">
        <f>H27</f>
        <v>100</v>
      </c>
      <c r="V27" s="1560" t="s">
        <v>8</v>
      </c>
      <c r="W27" s="1561">
        <f>J27</f>
        <v>100</v>
      </c>
      <c r="X27" s="1554"/>
      <c r="Y27" s="3380"/>
      <c r="Z27" s="1562" t="str">
        <f>Q27</f>
        <v>自然及人文环境状况</v>
      </c>
      <c r="AA27" s="1563">
        <f t="shared" si="3"/>
        <v>1</v>
      </c>
      <c r="AB27" s="1563">
        <f t="shared" si="4"/>
        <v>1</v>
      </c>
      <c r="AC27" s="1563">
        <f t="shared" si="5"/>
        <v>1</v>
      </c>
    </row>
    <row r="28" spans="1:29" ht="20.25">
      <c r="A28" s="515"/>
      <c r="B28" s="566"/>
      <c r="C28" s="554" t="s">
        <v>3292</v>
      </c>
      <c r="D28" s="557"/>
      <c r="E28" s="554" t="s">
        <v>3292</v>
      </c>
      <c r="F28" s="555"/>
      <c r="G28" s="554" t="s">
        <v>3292</v>
      </c>
      <c r="H28" s="555"/>
      <c r="I28" s="554" t="s">
        <v>3292</v>
      </c>
      <c r="J28" s="555"/>
      <c r="K28" s="531"/>
      <c r="L28" s="2128"/>
      <c r="M28" s="2118"/>
      <c r="N28" s="2118"/>
      <c r="O28" s="2127"/>
      <c r="P28" s="3380"/>
      <c r="Q28" s="1559"/>
      <c r="R28" s="1560"/>
      <c r="S28" s="1561"/>
      <c r="T28" s="1560"/>
      <c r="U28" s="1561"/>
      <c r="V28" s="1560"/>
      <c r="W28" s="1561"/>
      <c r="X28" s="1554"/>
      <c r="Y28" s="3380"/>
      <c r="Z28" s="1562"/>
      <c r="AA28" s="1563">
        <v>1</v>
      </c>
      <c r="AB28" s="1563">
        <v>1</v>
      </c>
      <c r="AC28" s="1563">
        <v>1</v>
      </c>
    </row>
    <row r="29" spans="1:29" s="1216" customFormat="1" ht="42.75">
      <c r="A29" s="577"/>
      <c r="B29" s="2553"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80"/>
      <c r="Q29" s="1147" t="str">
        <f t="shared" si="8"/>
        <v>公共配套设施</v>
      </c>
      <c r="R29" s="1555" t="s">
        <v>8</v>
      </c>
      <c r="S29" s="1556">
        <f>F29</f>
        <v>100</v>
      </c>
      <c r="T29" s="1555" t="s">
        <v>8</v>
      </c>
      <c r="U29" s="1556">
        <f>H29</f>
        <v>100</v>
      </c>
      <c r="V29" s="1555" t="s">
        <v>8</v>
      </c>
      <c r="W29" s="1556">
        <f>J29</f>
        <v>100</v>
      </c>
      <c r="X29" s="1557"/>
      <c r="Y29" s="3380"/>
      <c r="Z29" s="1146" t="str">
        <f>Q29</f>
        <v>公共配套设施</v>
      </c>
      <c r="AA29" s="1563">
        <f>D29/F29</f>
        <v>1</v>
      </c>
      <c r="AB29" s="1563">
        <f>D29/H29</f>
        <v>1</v>
      </c>
      <c r="AC29" s="1563">
        <f>D29/J29</f>
        <v>1</v>
      </c>
    </row>
    <row r="30" spans="1:29" s="1216" customFormat="1" ht="20.25">
      <c r="A30" s="577"/>
      <c r="B30" s="566"/>
      <c r="C30" s="579" t="s">
        <v>3292</v>
      </c>
      <c r="D30" s="557"/>
      <c r="E30" s="579" t="s">
        <v>3292</v>
      </c>
      <c r="F30" s="555"/>
      <c r="G30" s="579" t="s">
        <v>3292</v>
      </c>
      <c r="H30" s="555"/>
      <c r="I30" s="579" t="s">
        <v>3292</v>
      </c>
      <c r="J30" s="555"/>
      <c r="K30" s="531"/>
      <c r="L30" s="2121"/>
      <c r="M30" s="2118"/>
      <c r="N30" s="2118"/>
      <c r="O30" s="2123"/>
      <c r="P30" s="3380"/>
      <c r="Q30" s="1147"/>
      <c r="R30" s="1555"/>
      <c r="S30" s="1556"/>
      <c r="T30" s="1555"/>
      <c r="U30" s="1556"/>
      <c r="V30" s="1555"/>
      <c r="W30" s="1556"/>
      <c r="X30" s="1557"/>
      <c r="Y30" s="3380"/>
      <c r="Z30" s="1146"/>
      <c r="AA30" s="1563">
        <v>1</v>
      </c>
      <c r="AB30" s="1563">
        <v>1</v>
      </c>
      <c r="AC30" s="1563">
        <v>1</v>
      </c>
    </row>
    <row r="31" spans="1:29" s="1216" customFormat="1" ht="28.5">
      <c r="A31" s="577"/>
      <c r="B31" s="2553"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1"/>
      <c r="M31" s="2118"/>
      <c r="N31" s="2118"/>
      <c r="O31" s="2123"/>
      <c r="P31" s="3380"/>
      <c r="Q31" s="2540" t="str">
        <f t="shared" ref="Q31" si="9">B31</f>
        <v>基础设施水平</v>
      </c>
      <c r="R31" s="1555" t="s">
        <v>8</v>
      </c>
      <c r="S31" s="1556">
        <f>F31</f>
        <v>100</v>
      </c>
      <c r="T31" s="1555" t="s">
        <v>8</v>
      </c>
      <c r="U31" s="1556">
        <f>H31</f>
        <v>100</v>
      </c>
      <c r="V31" s="1555" t="s">
        <v>8</v>
      </c>
      <c r="W31" s="1556">
        <f>J31</f>
        <v>100</v>
      </c>
      <c r="X31" s="1557"/>
      <c r="Y31" s="3380"/>
      <c r="Z31" s="2537" t="str">
        <f>Q31</f>
        <v>基础设施水平</v>
      </c>
      <c r="AA31" s="1563">
        <f>D31/F31</f>
        <v>1</v>
      </c>
      <c r="AB31" s="1563">
        <f>D31/H31</f>
        <v>1</v>
      </c>
      <c r="AC31" s="1563">
        <f>D31/J31</f>
        <v>1</v>
      </c>
    </row>
    <row r="32" spans="1:29" s="1216" customFormat="1" ht="21" thickBot="1">
      <c r="A32" s="577"/>
      <c r="B32" s="566"/>
      <c r="C32" s="579" t="s">
        <v>3295</v>
      </c>
      <c r="D32" s="557"/>
      <c r="E32" s="579" t="s">
        <v>3295</v>
      </c>
      <c r="F32" s="555"/>
      <c r="G32" s="579" t="s">
        <v>3295</v>
      </c>
      <c r="H32" s="555"/>
      <c r="I32" s="579" t="s">
        <v>3295</v>
      </c>
      <c r="J32" s="555"/>
      <c r="K32" s="531"/>
      <c r="L32" s="2121"/>
      <c r="M32" s="2118"/>
      <c r="N32" s="2118"/>
      <c r="O32" s="2123"/>
      <c r="P32" s="3380"/>
      <c r="Q32" s="2540"/>
      <c r="R32" s="1555"/>
      <c r="S32" s="1556"/>
      <c r="T32" s="1555"/>
      <c r="U32" s="1556"/>
      <c r="V32" s="1555"/>
      <c r="W32" s="1556"/>
      <c r="X32" s="1557"/>
      <c r="Y32" s="3380"/>
      <c r="Z32" s="2537"/>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0"/>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0"/>
      <c r="Q34" s="1559" t="str">
        <f t="shared" si="8"/>
        <v>毗邻道路的类型与等级</v>
      </c>
      <c r="R34" s="1560" t="s">
        <v>8</v>
      </c>
      <c r="S34" s="1561">
        <f t="shared" si="10"/>
        <v>100</v>
      </c>
      <c r="T34" s="1560" t="s">
        <v>8</v>
      </c>
      <c r="U34" s="1561">
        <f t="shared" si="11"/>
        <v>100</v>
      </c>
      <c r="V34" s="1560" t="s">
        <v>8</v>
      </c>
      <c r="W34" s="1561">
        <f t="shared" si="12"/>
        <v>100</v>
      </c>
      <c r="X34" s="1554"/>
      <c r="Y34" s="3380"/>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8"/>
      <c r="M35" s="2118"/>
      <c r="N35" s="2118"/>
      <c r="O35" s="2127"/>
      <c r="P35" s="3380"/>
      <c r="Q35" s="1559"/>
      <c r="R35" s="1560"/>
      <c r="S35" s="1561"/>
      <c r="T35" s="1560"/>
      <c r="U35" s="1561"/>
      <c r="V35" s="1560"/>
      <c r="W35" s="1561"/>
      <c r="X35" s="1554"/>
      <c r="Y35" s="338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0"/>
      <c r="Q36" s="1559" t="str">
        <f t="shared" si="8"/>
        <v>土地级别</v>
      </c>
      <c r="R36" s="1560" t="s">
        <v>8</v>
      </c>
      <c r="S36" s="1561">
        <f t="shared" si="10"/>
        <v>100</v>
      </c>
      <c r="T36" s="1560" t="s">
        <v>8</v>
      </c>
      <c r="U36" s="1561">
        <f t="shared" si="11"/>
        <v>100</v>
      </c>
      <c r="V36" s="1560" t="s">
        <v>8</v>
      </c>
      <c r="W36" s="1561">
        <f t="shared" si="12"/>
        <v>100</v>
      </c>
      <c r="X36" s="1554"/>
      <c r="Y36" s="338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0"/>
      <c r="Q37" s="1559">
        <f t="shared" si="8"/>
        <v>111</v>
      </c>
      <c r="R37" s="1560" t="s">
        <v>8</v>
      </c>
      <c r="S37" s="1561">
        <f t="shared" si="10"/>
        <v>100</v>
      </c>
      <c r="T37" s="1560" t="s">
        <v>8</v>
      </c>
      <c r="U37" s="1561">
        <f t="shared" si="11"/>
        <v>100</v>
      </c>
      <c r="V37" s="1560" t="s">
        <v>8</v>
      </c>
      <c r="W37" s="1561">
        <f t="shared" si="12"/>
        <v>100</v>
      </c>
      <c r="X37" s="1554"/>
      <c r="Y37" s="338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1" t="s">
        <v>550</v>
      </c>
      <c r="Q38" s="1559">
        <f t="shared" si="8"/>
        <v>111</v>
      </c>
      <c r="R38" s="1560" t="s">
        <v>8</v>
      </c>
      <c r="S38" s="1561">
        <f t="shared" si="10"/>
        <v>100</v>
      </c>
      <c r="T38" s="1560" t="s">
        <v>8</v>
      </c>
      <c r="U38" s="1561">
        <f t="shared" si="11"/>
        <v>100</v>
      </c>
      <c r="V38" s="1560" t="s">
        <v>8</v>
      </c>
      <c r="W38" s="1561">
        <f t="shared" si="12"/>
        <v>100</v>
      </c>
      <c r="X38" s="1554"/>
      <c r="Y38" s="338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2"/>
      <c r="Q39" s="1559">
        <f t="shared" si="8"/>
        <v>111</v>
      </c>
      <c r="R39" s="1564" t="s">
        <v>8</v>
      </c>
      <c r="S39" s="1565">
        <f t="shared" si="10"/>
        <v>100</v>
      </c>
      <c r="T39" s="1564" t="s">
        <v>8</v>
      </c>
      <c r="U39" s="1565">
        <f t="shared" si="11"/>
        <v>100</v>
      </c>
      <c r="V39" s="1564" t="s">
        <v>8</v>
      </c>
      <c r="W39" s="1565">
        <f t="shared" si="12"/>
        <v>100</v>
      </c>
      <c r="X39" s="1566"/>
      <c r="Y39" s="3382"/>
      <c r="Z39" s="1567">
        <f t="shared" si="13"/>
        <v>111</v>
      </c>
      <c r="AA39" s="1563">
        <f t="shared" si="3"/>
        <v>1</v>
      </c>
      <c r="AB39" s="1563">
        <f t="shared" si="4"/>
        <v>1</v>
      </c>
      <c r="AC39" s="1563">
        <f t="shared" si="5"/>
        <v>1</v>
      </c>
    </row>
    <row r="40" spans="1:29" ht="20.25">
      <c r="A40" s="2860" t="s">
        <v>2755</v>
      </c>
      <c r="B40" s="595" t="s">
        <v>552</v>
      </c>
      <c r="C40" s="596">
        <f>'数据-汇总表'!D3</f>
        <v>43369.49</v>
      </c>
      <c r="D40" s="597">
        <v>100</v>
      </c>
      <c r="E40" s="596">
        <f>土地案例!I13</f>
        <v>214504.9</v>
      </c>
      <c r="F40" s="597">
        <f>LOOKUP(E40,119:119,120:120)-LOOKUP(C40,119:119,120:120)+100</f>
        <v>100</v>
      </c>
      <c r="G40" s="596">
        <f>土地案例!I15</f>
        <v>214910.5</v>
      </c>
      <c r="H40" s="597">
        <f>LOOKUP(G40,119:119,120:120)-LOOKUP(C40,119:119,120:120)+100</f>
        <v>100</v>
      </c>
      <c r="I40" s="598">
        <f>土地案例!I16</f>
        <v>46784.02</v>
      </c>
      <c r="J40" s="597">
        <f>LOOKUP(I40,119:119,120:120)-LOOKUP(C40,119:119,120:120)+100</f>
        <v>100</v>
      </c>
      <c r="K40" s="581"/>
      <c r="L40" s="2128"/>
      <c r="M40" s="2118"/>
      <c r="N40" s="2118"/>
      <c r="O40" s="2127"/>
      <c r="P40" s="3382"/>
      <c r="Q40" s="1559" t="str">
        <f>B40</f>
        <v>宗地面积</v>
      </c>
      <c r="R40" s="1560" t="s">
        <v>8</v>
      </c>
      <c r="S40" s="1561">
        <f t="shared" si="10"/>
        <v>100</v>
      </c>
      <c r="T40" s="1560" t="s">
        <v>8</v>
      </c>
      <c r="U40" s="1561">
        <f t="shared" si="11"/>
        <v>100</v>
      </c>
      <c r="V40" s="1560" t="s">
        <v>8</v>
      </c>
      <c r="W40" s="1561">
        <f t="shared" si="12"/>
        <v>100</v>
      </c>
      <c r="X40" s="1554"/>
      <c r="Y40" s="3382"/>
      <c r="Z40" s="1562" t="str">
        <f t="shared" si="13"/>
        <v>宗地面积</v>
      </c>
      <c r="AA40" s="1563">
        <f t="shared" si="3"/>
        <v>1</v>
      </c>
      <c r="AB40" s="1563">
        <f t="shared" si="4"/>
        <v>1</v>
      </c>
      <c r="AC40" s="1563">
        <f t="shared" si="5"/>
        <v>1</v>
      </c>
    </row>
    <row r="41" spans="1:29" ht="20.25">
      <c r="A41" s="594"/>
      <c r="B41" s="527" t="s">
        <v>553</v>
      </c>
      <c r="C41" s="599" t="s">
        <v>3296</v>
      </c>
      <c r="D41" s="540">
        <v>100</v>
      </c>
      <c r="E41" s="599" t="s">
        <v>3296</v>
      </c>
      <c r="F41" s="540">
        <f>SUMIF(121:121,E41,122:122)-SUMIF(121:121,C41,122:122)+100</f>
        <v>100</v>
      </c>
      <c r="G41" s="599" t="s">
        <v>3296</v>
      </c>
      <c r="H41" s="540">
        <f>SUMIF(121:121,G41,122:122)-SUMIF(121:121,C41,122:122)+100</f>
        <v>100</v>
      </c>
      <c r="I41" s="599" t="s">
        <v>3296</v>
      </c>
      <c r="J41" s="540">
        <f>SUMIF(121:121,I41,122:122)-SUMIF(121:121,C41,122:122)+100</f>
        <v>100</v>
      </c>
      <c r="K41" s="584"/>
      <c r="L41" s="2128"/>
      <c r="M41" s="2118"/>
      <c r="N41" s="2118"/>
      <c r="O41" s="2127"/>
      <c r="P41" s="3382"/>
      <c r="Q41" s="1559" t="str">
        <f t="shared" ref="Q41:Q47" si="14">B41</f>
        <v>宗地形状</v>
      </c>
      <c r="R41" s="1560" t="s">
        <v>8</v>
      </c>
      <c r="S41" s="1561">
        <f t="shared" si="10"/>
        <v>100</v>
      </c>
      <c r="T41" s="1560" t="s">
        <v>8</v>
      </c>
      <c r="U41" s="1561">
        <f t="shared" si="11"/>
        <v>100</v>
      </c>
      <c r="V41" s="1560" t="s">
        <v>8</v>
      </c>
      <c r="W41" s="1561">
        <f t="shared" si="12"/>
        <v>100</v>
      </c>
      <c r="X41" s="1554"/>
      <c r="Y41" s="3382"/>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2"/>
      <c r="Q42" s="1559" t="str">
        <f t="shared" si="14"/>
        <v>临街宽度及深度</v>
      </c>
      <c r="R42" s="1560" t="s">
        <v>8</v>
      </c>
      <c r="S42" s="1561">
        <f t="shared" si="10"/>
        <v>100</v>
      </c>
      <c r="T42" s="1560" t="s">
        <v>8</v>
      </c>
      <c r="U42" s="1561">
        <f t="shared" si="11"/>
        <v>100</v>
      </c>
      <c r="V42" s="1560" t="s">
        <v>8</v>
      </c>
      <c r="W42" s="1561">
        <f t="shared" si="12"/>
        <v>100</v>
      </c>
      <c r="X42" s="1554"/>
      <c r="Y42" s="3382"/>
      <c r="Z42" s="1562" t="str">
        <f t="shared" si="13"/>
        <v>临街宽度及深度</v>
      </c>
      <c r="AA42" s="1563">
        <f t="shared" si="3"/>
        <v>1</v>
      </c>
      <c r="AB42" s="1563">
        <f t="shared" si="4"/>
        <v>1</v>
      </c>
      <c r="AC42" s="1563">
        <f t="shared" si="5"/>
        <v>1</v>
      </c>
    </row>
    <row r="43" spans="1:29" s="1216" customFormat="1" ht="20.25">
      <c r="A43" s="600"/>
      <c r="B43" s="1881" t="s">
        <v>2424</v>
      </c>
      <c r="C43" s="601" t="s">
        <v>3295</v>
      </c>
      <c r="D43" s="255">
        <v>100</v>
      </c>
      <c r="E43" s="601" t="s">
        <v>3295</v>
      </c>
      <c r="F43" s="540">
        <f>SUMIF(125:125,E43,126:126)-SUMIF(125:125,C43,126:126)+100</f>
        <v>100</v>
      </c>
      <c r="G43" s="601" t="s">
        <v>3295</v>
      </c>
      <c r="H43" s="540">
        <f>SUMIF(125:125,G43,126:126)-SUMIF(125:125,C43,126:126)+100</f>
        <v>100</v>
      </c>
      <c r="I43" s="601" t="s">
        <v>3295</v>
      </c>
      <c r="J43" s="540">
        <f>SUMIF(125:125,I43,126:126)-SUMIF(125:125,C43,126:126)+100</f>
        <v>100</v>
      </c>
      <c r="K43" s="584"/>
      <c r="L43" s="2121"/>
      <c r="M43" s="2118"/>
      <c r="N43" s="2118"/>
      <c r="O43" s="2123"/>
      <c r="P43" s="3382"/>
      <c r="Q43" s="1559" t="str">
        <f t="shared" si="14"/>
        <v>宗地开发程度</v>
      </c>
      <c r="R43" s="1555" t="s">
        <v>8</v>
      </c>
      <c r="S43" s="1556">
        <f t="shared" si="10"/>
        <v>100</v>
      </c>
      <c r="T43" s="1555" t="s">
        <v>8</v>
      </c>
      <c r="U43" s="1556">
        <f t="shared" si="11"/>
        <v>100</v>
      </c>
      <c r="V43" s="1555" t="s">
        <v>8</v>
      </c>
      <c r="W43" s="1556">
        <f t="shared" si="12"/>
        <v>100</v>
      </c>
      <c r="X43" s="1557"/>
      <c r="Y43" s="3382"/>
      <c r="Z43" s="1146" t="str">
        <f t="shared" si="13"/>
        <v>宗地开发程度</v>
      </c>
      <c r="AA43" s="1558">
        <f t="shared" si="3"/>
        <v>1</v>
      </c>
      <c r="AB43" s="1558">
        <f t="shared" si="4"/>
        <v>1</v>
      </c>
      <c r="AC43" s="1558">
        <f t="shared" si="5"/>
        <v>1</v>
      </c>
    </row>
    <row r="44" spans="1:29" ht="21" thickBot="1">
      <c r="A44" s="594"/>
      <c r="B44" s="527" t="s">
        <v>555</v>
      </c>
      <c r="C44" s="599" t="s">
        <v>3294</v>
      </c>
      <c r="D44" s="540">
        <v>100</v>
      </c>
      <c r="E44" s="599" t="s">
        <v>3294</v>
      </c>
      <c r="F44" s="540">
        <f>SUMIF(127:127,E44,128:128)-SUMIF(127:127,C44,128:128)+100</f>
        <v>100</v>
      </c>
      <c r="G44" s="599" t="s">
        <v>3294</v>
      </c>
      <c r="H44" s="540">
        <f>SUMIF(127:127,G44,128:128)-SUMIF(127:127,C44,128:128)+100</f>
        <v>100</v>
      </c>
      <c r="I44" s="599" t="s">
        <v>3294</v>
      </c>
      <c r="J44" s="540">
        <f>SUMIF(127:127,I44,128:128)-SUMIF(127:127,C44,128:128)+100</f>
        <v>100</v>
      </c>
      <c r="K44" s="584"/>
      <c r="L44" s="2128"/>
      <c r="M44" s="2118"/>
      <c r="N44" s="2118"/>
      <c r="O44" s="2127"/>
      <c r="P44" s="3382" t="s">
        <v>550</v>
      </c>
      <c r="Q44" s="1559" t="str">
        <f t="shared" si="14"/>
        <v>工程地质条件</v>
      </c>
      <c r="R44" s="1560" t="s">
        <v>8</v>
      </c>
      <c r="S44" s="1561">
        <f t="shared" si="10"/>
        <v>100</v>
      </c>
      <c r="T44" s="1560" t="s">
        <v>8</v>
      </c>
      <c r="U44" s="1561">
        <f t="shared" si="11"/>
        <v>100</v>
      </c>
      <c r="V44" s="1560" t="s">
        <v>8</v>
      </c>
      <c r="W44" s="1561">
        <f t="shared" si="12"/>
        <v>100</v>
      </c>
      <c r="X44" s="1554"/>
      <c r="Y44" s="3382"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2"/>
      <c r="Q45" s="1559">
        <f t="shared" si="14"/>
        <v>111</v>
      </c>
      <c r="R45" s="1560" t="s">
        <v>8</v>
      </c>
      <c r="S45" s="1561">
        <f t="shared" si="10"/>
        <v>100</v>
      </c>
      <c r="T45" s="1560" t="s">
        <v>8</v>
      </c>
      <c r="U45" s="1561">
        <f t="shared" si="11"/>
        <v>100</v>
      </c>
      <c r="V45" s="1560" t="s">
        <v>8</v>
      </c>
      <c r="W45" s="1561">
        <f t="shared" si="12"/>
        <v>100</v>
      </c>
      <c r="X45" s="1554"/>
      <c r="Y45" s="3382"/>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2"/>
      <c r="Q46" s="1559">
        <f t="shared" si="14"/>
        <v>111</v>
      </c>
      <c r="R46" s="1560" t="s">
        <v>8</v>
      </c>
      <c r="S46" s="1561">
        <f t="shared" si="10"/>
        <v>100</v>
      </c>
      <c r="T46" s="1560" t="s">
        <v>8</v>
      </c>
      <c r="U46" s="1561">
        <f t="shared" si="11"/>
        <v>100</v>
      </c>
      <c r="V46" s="1560" t="s">
        <v>8</v>
      </c>
      <c r="W46" s="1561">
        <f t="shared" si="12"/>
        <v>100</v>
      </c>
      <c r="X46" s="1554"/>
      <c r="Y46" s="3382"/>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2"/>
      <c r="Q47" s="1559">
        <f t="shared" si="14"/>
        <v>111</v>
      </c>
      <c r="R47" s="1564" t="s">
        <v>8</v>
      </c>
      <c r="S47" s="1565">
        <f t="shared" si="10"/>
        <v>100</v>
      </c>
      <c r="T47" s="1564" t="s">
        <v>8</v>
      </c>
      <c r="U47" s="1565">
        <f t="shared" si="11"/>
        <v>100</v>
      </c>
      <c r="V47" s="1564" t="s">
        <v>8</v>
      </c>
      <c r="W47" s="1565">
        <f t="shared" si="12"/>
        <v>100</v>
      </c>
      <c r="X47" s="1566"/>
      <c r="Y47" s="3382"/>
      <c r="Z47" s="1567">
        <f t="shared" si="13"/>
        <v>111</v>
      </c>
      <c r="AA47" s="1563">
        <f t="shared" si="3"/>
        <v>1</v>
      </c>
      <c r="AB47" s="1563">
        <f t="shared" si="4"/>
        <v>1</v>
      </c>
      <c r="AC47" s="1563">
        <f t="shared" si="5"/>
        <v>1</v>
      </c>
    </row>
    <row r="48" spans="1:29" ht="20.25">
      <c r="A48" s="607" t="s">
        <v>556</v>
      </c>
      <c r="B48" s="608" t="s">
        <v>3300</v>
      </c>
      <c r="C48" s="609" t="s">
        <v>1</v>
      </c>
      <c r="D48" s="610"/>
      <c r="E48" s="611">
        <f>土地案例!Q13</f>
        <v>2000</v>
      </c>
      <c r="F48" s="612"/>
      <c r="G48" s="613">
        <f>土地案例!Q15</f>
        <v>2000</v>
      </c>
      <c r="H48" s="614"/>
      <c r="I48" s="611">
        <f>土地案例!Q16</f>
        <v>2000</v>
      </c>
      <c r="J48" s="614"/>
      <c r="K48" s="1336"/>
      <c r="L48" s="2130"/>
      <c r="M48" s="2118"/>
      <c r="N48" s="2118"/>
      <c r="O48" s="2131"/>
      <c r="P48" s="3377" t="str">
        <f>A48</f>
        <v>成交单价</v>
      </c>
      <c r="Q48" s="3377"/>
      <c r="R48" s="3391">
        <f>E48</f>
        <v>2000</v>
      </c>
      <c r="S48" s="3391"/>
      <c r="T48" s="3391">
        <f>G48</f>
        <v>2000</v>
      </c>
      <c r="U48" s="3391"/>
      <c r="V48" s="3391">
        <f>I48</f>
        <v>2000</v>
      </c>
      <c r="W48" s="3391"/>
      <c r="X48" s="1546"/>
      <c r="Y48" s="1568"/>
      <c r="Z48" s="1546"/>
      <c r="AA48" s="1546"/>
      <c r="AB48" s="1546"/>
      <c r="AC48" s="1546"/>
    </row>
    <row r="49" spans="1:29" ht="21" thickBot="1">
      <c r="A49" s="615" t="s">
        <v>2693</v>
      </c>
      <c r="B49" s="616"/>
      <c r="C49" s="617">
        <f>R50</f>
        <v>2217</v>
      </c>
      <c r="D49" s="618"/>
      <c r="E49" s="617">
        <f>R49</f>
        <v>2217</v>
      </c>
      <c r="F49" s="619"/>
      <c r="G49" s="620">
        <f>T49</f>
        <v>2217</v>
      </c>
      <c r="H49" s="618"/>
      <c r="I49" s="617">
        <f>V49</f>
        <v>2217</v>
      </c>
      <c r="J49" s="618"/>
      <c r="K49" s="1337"/>
      <c r="L49" s="2130"/>
      <c r="M49" s="2118"/>
      <c r="N49" s="2118"/>
      <c r="O49" s="2131"/>
      <c r="P49" s="3377" t="str">
        <f>A49</f>
        <v>比较价格（元/平方米）</v>
      </c>
      <c r="Q49" s="3377"/>
      <c r="R49" s="3401">
        <f>ROUND(PRODUCT(R48,AA9:AA47),0)</f>
        <v>2217</v>
      </c>
      <c r="S49" s="3401"/>
      <c r="T49" s="3401">
        <f>ROUND(PRODUCT(T48,AB9:AB47),0)</f>
        <v>2217</v>
      </c>
      <c r="U49" s="3401"/>
      <c r="V49" s="3401">
        <f>ROUND(PRODUCT(V48,AC9:AC47),0)</f>
        <v>2217</v>
      </c>
      <c r="W49" s="3401"/>
      <c r="X49" s="1546"/>
      <c r="Y49" s="1546"/>
      <c r="Z49" s="1546"/>
      <c r="AA49" s="1546"/>
      <c r="AB49" s="1546"/>
      <c r="AC49" s="1546"/>
    </row>
    <row r="50" spans="1:29" ht="21" thickBot="1">
      <c r="A50" s="621" t="s">
        <v>2934</v>
      </c>
      <c r="B50" s="622"/>
      <c r="C50" s="623">
        <f>R50</f>
        <v>2217</v>
      </c>
      <c r="D50" s="623"/>
      <c r="E50" s="623"/>
      <c r="F50" s="623"/>
      <c r="G50" s="623"/>
      <c r="H50" s="623"/>
      <c r="I50" s="623"/>
      <c r="J50" s="623"/>
      <c r="K50" s="1338"/>
      <c r="L50" s="2130"/>
      <c r="M50" s="2118"/>
      <c r="N50" s="2118"/>
      <c r="O50" s="2131"/>
      <c r="P50" s="3398" t="str">
        <f>A50</f>
        <v>估价对象XX用房的比较价格（楼面单价，元/平方米）</v>
      </c>
      <c r="Q50" s="3399"/>
      <c r="R50" s="3400">
        <f>ROUND(AVERAGE(R49:V49),0)</f>
        <v>2217</v>
      </c>
      <c r="S50" s="3400"/>
      <c r="T50" s="3400"/>
      <c r="U50" s="3400"/>
      <c r="V50" s="3400"/>
      <c r="W50" s="340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0.10850000000000004</v>
      </c>
      <c r="F53" s="627" t="str">
        <f>IF(OR(E53&gt;=0.3,E53&lt;=-0.3),"超过30%","")</f>
        <v/>
      </c>
      <c r="G53" s="626">
        <f>IF(G48&lt;G49,G49/G48-1,G48/G49-1)</f>
        <v>0.10850000000000004</v>
      </c>
      <c r="H53" s="627" t="str">
        <f>IF(OR(G53&gt;=0.3,G53&lt;=-0.3),"超过30%","")</f>
        <v/>
      </c>
      <c r="I53" s="626">
        <f>IF(I48&lt;I49,I49/I48-1,I48/I49-1)</f>
        <v>0.10850000000000004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v>
      </c>
      <c r="F54" s="627" t="str">
        <f>IF(OR(E54&gt;=0.2,E54&lt;=-0.2),"超过20%","")</f>
        <v/>
      </c>
      <c r="G54" s="626">
        <f>IF(G49&lt;I49,I49/G49-1,G49/I49-1)</f>
        <v>0</v>
      </c>
      <c r="H54" s="627" t="str">
        <f>IF(OR(G54&gt;=0.2,G54&lt;=-0.2),"超过20%","")</f>
        <v/>
      </c>
      <c r="I54" s="626">
        <f>IF(I49&lt;E49,E49/I49-1,I49/E49-1)</f>
        <v>0</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1" t="s">
        <v>2281</v>
      </c>
      <c r="H57" s="3362"/>
      <c r="I57" s="1542" t="s">
        <v>1722</v>
      </c>
      <c r="J57" s="1542" t="str">
        <f>项目基本情况!F41</f>
        <v>四川省成都市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2217</v>
      </c>
      <c r="C58" s="635">
        <v>1</v>
      </c>
      <c r="D58" s="2214">
        <v>1</v>
      </c>
      <c r="E58" s="635">
        <f>'数据-汇总表'!E8+'数据-汇总表'!E9</f>
        <v>86738.98</v>
      </c>
      <c r="F58" s="636">
        <f t="shared" ref="F58:F67" si="15">ROUND(B58*E58/10000,0)</f>
        <v>19230</v>
      </c>
      <c r="G58" s="3363"/>
      <c r="H58" s="336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5"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86738.98</v>
      </c>
      <c r="F68" s="644">
        <f>IF(B48="楼面地价",SUM(F58:F67),ROUND(C50*E68/10000,0))</f>
        <v>19230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2" t="str">
        <f>YEAR(C9)&amp;"-"&amp;MONTH(C9)&amp;"-1"</f>
        <v>2019-5-1</v>
      </c>
      <c r="D70" s="2752">
        <f>EDATE(C70,-3)</f>
        <v>43497</v>
      </c>
      <c r="E70" s="2752">
        <f t="shared" ref="E70:N70" si="18">EDATE(D70,-3)</f>
        <v>43405</v>
      </c>
      <c r="F70" s="2752">
        <f t="shared" si="18"/>
        <v>43313</v>
      </c>
      <c r="G70" s="2752">
        <f t="shared" si="18"/>
        <v>43221</v>
      </c>
      <c r="H70" s="2752">
        <f t="shared" si="18"/>
        <v>43132</v>
      </c>
      <c r="I70" s="2752">
        <f t="shared" si="18"/>
        <v>43040</v>
      </c>
      <c r="J70" s="2752">
        <f t="shared" si="18"/>
        <v>42948</v>
      </c>
      <c r="K70" s="2752">
        <f t="shared" si="18"/>
        <v>42856</v>
      </c>
      <c r="L70" s="2752">
        <f t="shared" si="18"/>
        <v>42767</v>
      </c>
      <c r="M70" s="2752">
        <f t="shared" si="18"/>
        <v>42675</v>
      </c>
      <c r="N70" s="2752">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0" t="s">
        <v>2532</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59" t="s">
        <v>2647</v>
      </c>
      <c r="B73" s="479" t="str">
        <f>"北京市平均增长率"&amp;TEXT(SUMIF(基准地价!N21:N25,A73,基准地价!P21:P25),"0.00%")</f>
        <v>北京市平均增长率2.06%</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0" t="s">
        <v>2646</v>
      </c>
      <c r="B74" s="2758"/>
      <c r="C74" s="2744"/>
      <c r="D74" s="2745"/>
      <c r="E74" s="2745"/>
      <c r="F74" s="2745"/>
      <c r="G74" s="2745"/>
      <c r="H74" s="2745"/>
      <c r="I74" s="2745"/>
      <c r="J74" s="2745"/>
      <c r="K74" s="2745"/>
      <c r="L74" s="2745"/>
      <c r="M74" s="2745"/>
      <c r="N74" s="2745"/>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f>C82+1</f>
        <v>1</v>
      </c>
      <c r="E82" s="541">
        <f t="shared" ref="E82:K82" si="22">D82+1</f>
        <v>2</v>
      </c>
      <c r="F82" s="541">
        <f t="shared" si="22"/>
        <v>3</v>
      </c>
      <c r="G82" s="541">
        <f t="shared" si="22"/>
        <v>4</v>
      </c>
      <c r="H82" s="541">
        <f t="shared" si="22"/>
        <v>5</v>
      </c>
      <c r="I82" s="541">
        <f t="shared" si="22"/>
        <v>6</v>
      </c>
      <c r="J82" s="541">
        <f t="shared" si="22"/>
        <v>7</v>
      </c>
      <c r="K82" s="541">
        <f t="shared" si="22"/>
        <v>8</v>
      </c>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97</v>
      </c>
      <c r="E95" s="679">
        <f>D95-$K21</f>
        <v>94</v>
      </c>
      <c r="F95" s="679">
        <f>E95-$K21</f>
        <v>91</v>
      </c>
      <c r="G95" s="679">
        <f>F95-$K21</f>
        <v>88</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59" t="s">
        <v>2550</v>
      </c>
      <c r="C104" s="2560" t="s">
        <v>2551</v>
      </c>
      <c r="D104" s="2560" t="s">
        <v>2552</v>
      </c>
      <c r="E104" s="2560" t="s">
        <v>2553</v>
      </c>
      <c r="F104" s="2560" t="s">
        <v>2554</v>
      </c>
      <c r="G104" s="2560"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97</v>
      </c>
      <c r="E105" s="679">
        <f>D105-$K31</f>
        <v>94</v>
      </c>
      <c r="F105" s="679">
        <f>E105-$K31</f>
        <v>91</v>
      </c>
      <c r="G105" s="679">
        <f>F105-$K31</f>
        <v>88</v>
      </c>
      <c r="H105" s="683"/>
      <c r="I105" s="683"/>
      <c r="J105" s="683"/>
      <c r="K105" s="683"/>
      <c r="L105" s="683"/>
      <c r="M105" s="2552"/>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7">C119&amp;"(含)"&amp;"-"&amp;D119</f>
        <v>0(含)-1000000</v>
      </c>
      <c r="D118" s="704" t="str">
        <f t="shared" si="27"/>
        <v>1000000(含)-2000000</v>
      </c>
      <c r="E118" s="704" t="str">
        <f t="shared" si="27"/>
        <v>2000000(含)-3000000</v>
      </c>
      <c r="F118" s="704" t="str">
        <f t="shared" si="27"/>
        <v>3000000(含)-4000000</v>
      </c>
      <c r="G118" s="704" t="str">
        <f t="shared" si="27"/>
        <v>4000000(含)-5000000</v>
      </c>
      <c r="H118" s="704" t="str">
        <f t="shared" si="27"/>
        <v>5000000(含)-6000000</v>
      </c>
      <c r="I118" s="704" t="str">
        <f t="shared" si="27"/>
        <v>6000000(含)-7000000</v>
      </c>
      <c r="J118" s="3042" t="str">
        <f t="shared" si="27"/>
        <v>7000000(含)-8000000</v>
      </c>
      <c r="K118" s="3042" t="str">
        <f t="shared" si="27"/>
        <v>8000000(含)-9000000</v>
      </c>
      <c r="L118" s="3043" t="str">
        <f t="shared" si="27"/>
        <v>9000000(含)-10000000</v>
      </c>
      <c r="M118" s="3044" t="str">
        <f>M119&amp;"(含)"&amp;"-"&amp;P119</f>
        <v>10000000(含)-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f>C119+1000000</f>
        <v>1000000</v>
      </c>
      <c r="E119" s="730">
        <f t="shared" ref="E119:M119" si="28">D119+1000000</f>
        <v>2000000</v>
      </c>
      <c r="F119" s="730">
        <f t="shared" si="28"/>
        <v>3000000</v>
      </c>
      <c r="G119" s="730">
        <f t="shared" si="28"/>
        <v>4000000</v>
      </c>
      <c r="H119" s="730">
        <f t="shared" si="28"/>
        <v>5000000</v>
      </c>
      <c r="I119" s="730">
        <f t="shared" si="28"/>
        <v>6000000</v>
      </c>
      <c r="J119" s="730">
        <f t="shared" si="28"/>
        <v>7000000</v>
      </c>
      <c r="K119" s="730">
        <f t="shared" si="28"/>
        <v>8000000</v>
      </c>
      <c r="L119" s="730">
        <f t="shared" si="28"/>
        <v>9000000</v>
      </c>
      <c r="M119" s="730">
        <f t="shared" si="28"/>
        <v>10000000</v>
      </c>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2" t="s">
        <v>3297</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9">C122-$K41</f>
        <v>100</v>
      </c>
      <c r="E122" s="679">
        <f t="shared" si="29"/>
        <v>100</v>
      </c>
      <c r="F122" s="679">
        <f t="shared" si="29"/>
        <v>100</v>
      </c>
      <c r="G122" s="679">
        <f t="shared" si="29"/>
        <v>100</v>
      </c>
      <c r="H122" s="679">
        <f t="shared" si="29"/>
        <v>100</v>
      </c>
      <c r="I122" s="679">
        <f t="shared" si="29"/>
        <v>100</v>
      </c>
      <c r="J122" s="679">
        <f t="shared" si="29"/>
        <v>100</v>
      </c>
      <c r="K122" s="679">
        <f t="shared" si="29"/>
        <v>100</v>
      </c>
      <c r="L122" s="679">
        <f t="shared" si="29"/>
        <v>100</v>
      </c>
      <c r="M122" s="680">
        <f t="shared" si="29"/>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3298</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31">D126-$K43</f>
        <v>100</v>
      </c>
      <c r="F126" s="679">
        <f t="shared" si="31"/>
        <v>100</v>
      </c>
      <c r="G126" s="679">
        <f t="shared" si="31"/>
        <v>100</v>
      </c>
      <c r="H126" s="679">
        <f t="shared" si="31"/>
        <v>100</v>
      </c>
      <c r="I126" s="679">
        <f t="shared" si="31"/>
        <v>100</v>
      </c>
      <c r="J126" s="679">
        <f t="shared" si="31"/>
        <v>100</v>
      </c>
      <c r="K126" s="679">
        <f t="shared" si="31"/>
        <v>100</v>
      </c>
      <c r="L126" s="679">
        <f t="shared" si="31"/>
        <v>100</v>
      </c>
      <c r="M126" s="680">
        <f t="shared" si="31"/>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93" t="s">
        <v>3299</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2">C128-$K44</f>
        <v>100</v>
      </c>
      <c r="E128" s="679">
        <f t="shared" si="32"/>
        <v>100</v>
      </c>
      <c r="F128" s="679">
        <f t="shared" si="32"/>
        <v>100</v>
      </c>
      <c r="G128" s="679">
        <f t="shared" si="32"/>
        <v>100</v>
      </c>
      <c r="H128" s="679">
        <f t="shared" si="32"/>
        <v>100</v>
      </c>
      <c r="I128" s="679">
        <f t="shared" si="32"/>
        <v>100</v>
      </c>
      <c r="J128" s="679">
        <f t="shared" si="32"/>
        <v>100</v>
      </c>
      <c r="K128" s="679">
        <f t="shared" si="32"/>
        <v>100</v>
      </c>
      <c r="L128" s="679">
        <f t="shared" si="32"/>
        <v>100</v>
      </c>
      <c r="M128" s="680">
        <f t="shared" si="32"/>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6" t="str">
        <f>项目基本情况!B1</f>
        <v>四川省成都市青白江区景鸿路以东、绣川河以南出让国有建设用地使用权抵押价格预评估</v>
      </c>
      <c r="C37" s="3196"/>
      <c r="D37" s="3196"/>
      <c r="E37" s="3196"/>
      <c r="F37" s="3196"/>
      <c r="G37" s="3196"/>
      <c r="H37" s="3196"/>
      <c r="I37" s="3196"/>
    </row>
    <row r="38" spans="1:9">
      <c r="A38" s="1642"/>
      <c r="B38" s="1642"/>
    </row>
    <row r="39" spans="1:9">
      <c r="A39" s="1640" t="s">
        <v>1901</v>
      </c>
      <c r="B39" s="1640" t="s">
        <v>2046</v>
      </c>
    </row>
    <row r="40" spans="1:9">
      <c r="A40" s="1640"/>
      <c r="B40" s="1640" t="str">
        <f>项目基本情况!B5</f>
        <v>国民信托有限公司</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王鹏、郑燚</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0" sqref="I20"/>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2"/>
      <c r="C1" s="2090"/>
      <c r="D1" s="2090"/>
      <c r="E1" s="2090"/>
      <c r="F1" s="2090"/>
      <c r="G1" s="2090"/>
      <c r="H1" s="2090"/>
      <c r="I1" s="2090"/>
      <c r="J1" s="2090"/>
      <c r="K1" s="422">
        <f>MATCH(B1,'数据-取费表'!A6:A16,0)+5</f>
        <v>7</v>
      </c>
    </row>
    <row r="2" spans="1:31" s="2027" customFormat="1" ht="18" customHeight="1">
      <c r="A2" s="2087" t="s">
        <v>467</v>
      </c>
      <c r="B2" s="2091">
        <f ca="1">C36</f>
        <v>38215</v>
      </c>
      <c r="C2" s="2090"/>
      <c r="D2" s="2090"/>
      <c r="E2" s="2090"/>
      <c r="F2" s="2090"/>
      <c r="G2" s="2090"/>
      <c r="H2" s="2090"/>
      <c r="I2" s="2090"/>
      <c r="J2" s="2090"/>
      <c r="K2" s="2090"/>
    </row>
    <row r="3" spans="1:31" s="2027" customFormat="1" ht="18" customHeight="1">
      <c r="A3" s="2092" t="s">
        <v>1684</v>
      </c>
      <c r="B3" s="2093">
        <f ca="1">ROUND(B2*10000/IF(B1="",'数据-汇总表'!E3,INDIRECT("'数据-取费表'!K"&amp;$K$1)),0)</f>
        <v>4406</v>
      </c>
      <c r="C3" s="2090"/>
      <c r="D3" s="2090"/>
      <c r="E3" s="2090"/>
      <c r="F3" s="2090"/>
      <c r="G3" s="2090"/>
      <c r="H3" s="2090"/>
      <c r="I3" s="2090"/>
      <c r="J3" s="2090"/>
      <c r="K3" s="2090"/>
    </row>
    <row r="4" spans="1:31" s="2027" customFormat="1" ht="18" customHeight="1">
      <c r="A4" s="426" t="s">
        <v>468</v>
      </c>
      <c r="B4" s="427">
        <f ca="1">ROUND(B2*10000/IF(B1="",'数据-汇总表'!D3,INDIRECT("'数据-取费表'!R"&amp;$K$1)),0)</f>
        <v>8811</v>
      </c>
      <c r="C4" s="428"/>
      <c r="D4" s="422"/>
      <c r="E4" s="422"/>
      <c r="F4" s="422"/>
      <c r="G4" s="422"/>
      <c r="H4" s="422"/>
      <c r="I4" s="422"/>
      <c r="J4" s="422"/>
      <c r="K4" s="422"/>
    </row>
    <row r="5" spans="1:31" s="2027" customFormat="1" ht="18" customHeight="1" thickBot="1">
      <c r="A5" s="429"/>
      <c r="B5" s="430">
        <f ca="1">ROUND(B2/(IF(B1="",'数据-汇总表'!D3,INDIRECT("'数据-取费表'!R"&amp;$K$1))/666.67),0)</f>
        <v>587</v>
      </c>
      <c r="C5" s="431" t="s">
        <v>469</v>
      </c>
      <c r="D5" s="422"/>
      <c r="E5" s="422"/>
      <c r="F5" s="422"/>
      <c r="G5" s="422"/>
      <c r="H5" s="422"/>
      <c r="I5" s="422"/>
      <c r="J5" s="422"/>
      <c r="K5" s="422"/>
    </row>
    <row r="6" spans="1:31" s="2097" customFormat="1" ht="16.5" customHeight="1">
      <c r="A6" s="2781" t="s">
        <v>1842</v>
      </c>
      <c r="B6" s="2782"/>
      <c r="C6" s="2783">
        <f ca="1">SUM(C10:K10)</f>
        <v>81089</v>
      </c>
      <c r="D6" s="2782"/>
      <c r="E6" s="2782"/>
      <c r="F6" s="2782"/>
      <c r="G6" s="2782"/>
      <c r="H6" s="2782"/>
      <c r="I6" s="2782"/>
      <c r="J6" s="2782"/>
      <c r="K6" s="2784"/>
    </row>
    <row r="7" spans="1:31" s="2099" customFormat="1" ht="15">
      <c r="A7" s="2785" t="s">
        <v>470</v>
      </c>
      <c r="B7" s="2786" t="s">
        <v>471</v>
      </c>
      <c r="C7" s="436" t="s">
        <v>3004</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87">
        <f ca="1">不动产收益法!B3</f>
        <v>9349</v>
      </c>
      <c r="D8" s="2787"/>
      <c r="E8" s="2787"/>
      <c r="F8" s="2787"/>
      <c r="G8" s="2787"/>
      <c r="H8" s="2787"/>
      <c r="I8" s="2787"/>
      <c r="J8" s="2787"/>
      <c r="K8" s="2788"/>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86738.98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89" t="s">
        <v>1847</v>
      </c>
      <c r="B10" s="2775" t="s">
        <v>474</v>
      </c>
      <c r="C10" s="2979">
        <f ca="1">不动产收益法!B2</f>
        <v>81089</v>
      </c>
      <c r="D10" s="2979"/>
      <c r="E10" s="2979"/>
      <c r="F10" s="2790"/>
      <c r="G10" s="2790"/>
      <c r="H10" s="2790"/>
      <c r="I10" s="2790"/>
      <c r="J10" s="2790"/>
      <c r="K10" s="2791"/>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2" t="s">
        <v>1843</v>
      </c>
      <c r="B11" s="2782"/>
      <c r="C11" s="2782"/>
      <c r="D11" s="2782"/>
      <c r="E11" s="2782"/>
      <c r="F11" s="2782"/>
      <c r="G11" s="2782"/>
      <c r="H11" s="2782"/>
      <c r="I11" s="2782"/>
      <c r="J11" s="2782"/>
      <c r="K11" s="2784"/>
    </row>
    <row r="12" spans="1:31" s="2071" customFormat="1" ht="13.5" customHeight="1">
      <c r="A12" s="2793" t="s">
        <v>470</v>
      </c>
      <c r="B12" s="2765" t="s">
        <v>471</v>
      </c>
      <c r="C12" s="2794" t="s">
        <v>475</v>
      </c>
      <c r="D12" s="2761" t="s">
        <v>476</v>
      </c>
      <c r="E12" s="2761" t="s">
        <v>477</v>
      </c>
      <c r="F12" s="2761" t="s">
        <v>478</v>
      </c>
      <c r="G12" s="2765"/>
      <c r="H12" s="2766"/>
      <c r="I12" s="2766"/>
      <c r="J12" s="2766"/>
      <c r="K12" s="2767"/>
    </row>
    <row r="13" spans="1:31" s="2102" customFormat="1" ht="13.5" customHeight="1">
      <c r="A13" s="2795" t="s">
        <v>1848</v>
      </c>
      <c r="B13" s="2796" t="s">
        <v>479</v>
      </c>
      <c r="C13" s="450">
        <f ca="1">IF(B1="",'数据-取费表'!P16,INDIRECT("'数据-取费表'!p"&amp;$K$1)+INDIRECT("'数据-取费表'!t"&amp;$K$1))</f>
        <v>17348</v>
      </c>
      <c r="D13" s="2797"/>
      <c r="E13" s="2798"/>
      <c r="F13" s="2799"/>
      <c r="G13" s="2765"/>
      <c r="H13" s="2766"/>
      <c r="I13" s="2766"/>
      <c r="J13" s="2766"/>
      <c r="K13" s="2767"/>
    </row>
    <row r="14" spans="1:31" s="2102" customFormat="1" ht="13.5" customHeight="1">
      <c r="A14" s="2795" t="s">
        <v>1849</v>
      </c>
      <c r="B14" s="2796" t="s">
        <v>480</v>
      </c>
      <c r="C14" s="53">
        <f ca="1">ROUND(C13*F14,0)</f>
        <v>867</v>
      </c>
      <c r="D14" s="2797"/>
      <c r="E14" s="2798"/>
      <c r="F14" s="2800">
        <f>'数据-取费表'!B33</f>
        <v>0.05</v>
      </c>
      <c r="G14" s="2765" t="s">
        <v>481</v>
      </c>
      <c r="H14" s="2766"/>
      <c r="I14" s="2766"/>
      <c r="J14" s="2766"/>
      <c r="K14" s="2767"/>
    </row>
    <row r="15" spans="1:31" s="2102"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3" customFormat="1" ht="13.5" customHeight="1">
      <c r="A16" s="2795" t="s">
        <v>1851</v>
      </c>
      <c r="B16" s="2796" t="s">
        <v>484</v>
      </c>
      <c r="C16" s="53">
        <f ca="1">ROUND(D16*E16/10000,0)</f>
        <v>1735</v>
      </c>
      <c r="D16" s="2797">
        <f ca="1">IF(B1="",'数据-汇总表'!E3,INDIRECT("'数据-取费表'!K"&amp;$K$1)+INDIRECT("'数据-取费表'!S"&amp;$K$1))</f>
        <v>86738.98</v>
      </c>
      <c r="E16" s="53">
        <f>'数据-取费表'!B35</f>
        <v>200</v>
      </c>
      <c r="F16" s="2800"/>
      <c r="G16" s="2765"/>
      <c r="H16" s="2766"/>
      <c r="I16" s="2766"/>
      <c r="J16" s="2766"/>
      <c r="K16" s="2767"/>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5" t="s">
        <v>1852</v>
      </c>
      <c r="B17" s="2796" t="s">
        <v>485</v>
      </c>
      <c r="C17" s="2801">
        <f ca="1">ROUND(C13*F17,0)</f>
        <v>260</v>
      </c>
      <c r="D17" s="475"/>
      <c r="E17" s="2801"/>
      <c r="F17" s="2802">
        <f>'数据-取费表'!B36</f>
        <v>1.4999999999999999E-2</v>
      </c>
      <c r="G17" s="261" t="s">
        <v>486</v>
      </c>
      <c r="H17" s="2768"/>
      <c r="I17" s="2768"/>
      <c r="J17" s="2768"/>
      <c r="K17" s="279"/>
    </row>
    <row r="18" spans="1:14" s="2102" customFormat="1" ht="13.5" customHeight="1">
      <c r="A18" s="2803" t="s">
        <v>1853</v>
      </c>
      <c r="B18" s="2804" t="s">
        <v>487</v>
      </c>
      <c r="C18" s="2805">
        <f ca="1">SUM(C13:C17)</f>
        <v>20210</v>
      </c>
      <c r="D18" s="2806"/>
      <c r="E18" s="468"/>
      <c r="F18" s="468"/>
      <c r="G18" s="2769" t="s">
        <v>2430</v>
      </c>
      <c r="H18" s="2770"/>
      <c r="I18" s="2770"/>
      <c r="J18" s="2770"/>
      <c r="K18" s="2771"/>
    </row>
    <row r="19" spans="1:14" s="2102" customFormat="1" ht="13.5" customHeight="1">
      <c r="A19" s="2803" t="s">
        <v>1854</v>
      </c>
      <c r="B19" s="2804" t="s">
        <v>488</v>
      </c>
      <c r="C19" s="2761">
        <f ca="1">ROUND(D19*E19/10000,0)</f>
        <v>0</v>
      </c>
      <c r="D19" s="2807">
        <f ca="1">D16</f>
        <v>86738.98</v>
      </c>
      <c r="E19" s="2761">
        <f>'数据-取费表'!B32</f>
        <v>0</v>
      </c>
      <c r="F19" s="468"/>
      <c r="G19" s="2765" t="s">
        <v>489</v>
      </c>
      <c r="H19" s="2766"/>
      <c r="I19" s="2770"/>
      <c r="J19" s="2770"/>
      <c r="K19" s="2771"/>
    </row>
    <row r="20" spans="1:14" s="2102" customFormat="1" ht="13.5" customHeight="1">
      <c r="A20" s="2803" t="s">
        <v>1855</v>
      </c>
      <c r="B20" s="2804" t="s">
        <v>490</v>
      </c>
      <c r="C20" s="2761">
        <f ca="1">C21+C22-IF(B1="",'数据-取费表'!B29,IF(G20="已全部缴纳",C21+C22,H20))</f>
        <v>1041</v>
      </c>
      <c r="D20" s="2807"/>
      <c r="E20" s="2761"/>
      <c r="F20" s="2808"/>
      <c r="G20" s="3038"/>
      <c r="H20" s="2763"/>
      <c r="I20" s="2764" t="s">
        <v>2651</v>
      </c>
      <c r="J20" s="2770"/>
      <c r="K20" s="2771"/>
    </row>
    <row r="21" spans="1:14" s="2102" customFormat="1" ht="13.5" customHeight="1">
      <c r="A21" s="2795" t="s">
        <v>1856</v>
      </c>
      <c r="B21" s="2796" t="s">
        <v>491</v>
      </c>
      <c r="C21" s="53">
        <f ca="1">ROUND(D21*E21/10000,0)</f>
        <v>0</v>
      </c>
      <c r="D21" s="2797">
        <f ca="1">IF(B1="",'数据-汇总表'!E5,IF(INDIRECT("'数据-取费表'!c"&amp;$K$1)="住宅",INDIRECT("'数据-取费表'!k"&amp;$K$1),0))</f>
        <v>0</v>
      </c>
      <c r="E21" s="53">
        <f>'数据-取费表'!B27</f>
        <v>120</v>
      </c>
      <c r="F21" s="2800"/>
      <c r="G21" s="26"/>
      <c r="H21" s="51"/>
      <c r="I21" s="51"/>
      <c r="J21" s="51"/>
      <c r="K21" s="2772"/>
    </row>
    <row r="22" spans="1:14" s="2102" customFormat="1" ht="13.5" customHeight="1">
      <c r="A22" s="2795" t="s">
        <v>1857</v>
      </c>
      <c r="B22" s="2796" t="s">
        <v>492</v>
      </c>
      <c r="C22" s="53">
        <f ca="1">ROUND(D22*E22/10000,0)</f>
        <v>1041</v>
      </c>
      <c r="D22" s="2797">
        <f ca="1">IF(B1="",'数据-汇总表'!E6,IF(INDIRECT("'数据-取费表'!c"&amp;$K$1)="住宅",INDIRECT("'数据-取费表'!s"&amp;$K$1),INDIRECT("'数据-取费表'!k"&amp;$K$1)+INDIRECT("'数据-取费表'!s"&amp;$K$1)))</f>
        <v>86738.98</v>
      </c>
      <c r="E22" s="53">
        <f>'数据-取费表'!B28</f>
        <v>120</v>
      </c>
      <c r="F22" s="2800"/>
      <c r="G22" s="26"/>
      <c r="H22" s="51"/>
      <c r="I22" s="51"/>
      <c r="J22" s="51"/>
      <c r="K22" s="2772"/>
    </row>
    <row r="23" spans="1:14" s="2102" customFormat="1" ht="13.5" customHeight="1">
      <c r="A23" s="2803" t="s">
        <v>1858</v>
      </c>
      <c r="B23" s="2985" t="s">
        <v>2834</v>
      </c>
      <c r="C23" s="2805">
        <f ca="1">ROUND((C18+C19+C20)*F23,0)</f>
        <v>531</v>
      </c>
      <c r="D23" s="468"/>
      <c r="E23" s="468"/>
      <c r="F23" s="2809">
        <f>'数据-取费表'!B37</f>
        <v>2.5000000000000001E-2</v>
      </c>
      <c r="G23" s="2765" t="s">
        <v>2431</v>
      </c>
      <c r="H23" s="2766"/>
      <c r="I23" s="2766"/>
      <c r="J23" s="2766"/>
      <c r="K23" s="2767"/>
      <c r="L23" s="2104"/>
      <c r="M23" s="2104"/>
      <c r="N23" s="2104"/>
    </row>
    <row r="24" spans="1:14" s="2102" customFormat="1" ht="13.5" customHeight="1">
      <c r="A24" s="2803" t="s">
        <v>1859</v>
      </c>
      <c r="B24" s="2985" t="s">
        <v>2837</v>
      </c>
      <c r="C24" s="2805">
        <f ca="1">ROUND(C6*F24,0)</f>
        <v>2433</v>
      </c>
      <c r="D24" s="475"/>
      <c r="E24" s="473"/>
      <c r="F24" s="2809">
        <f>'数据-取费表'!B38</f>
        <v>0.03</v>
      </c>
      <c r="G24" s="2774" t="s">
        <v>499</v>
      </c>
      <c r="H24" s="2768"/>
      <c r="I24" s="2768"/>
      <c r="J24" s="2768"/>
      <c r="K24" s="279"/>
      <c r="L24" s="2104"/>
      <c r="M24" s="2104"/>
      <c r="N24" s="2104"/>
    </row>
    <row r="25" spans="1:14" s="2105" customFormat="1" ht="13.5" customHeight="1">
      <c r="A25" s="2803" t="s">
        <v>1860</v>
      </c>
      <c r="B25" s="2985" t="s">
        <v>2835</v>
      </c>
      <c r="C25" s="467">
        <f>ROUND(F25/(1+'数据-取费表'!C42),4)</f>
        <v>2.9000000000000001E-2</v>
      </c>
      <c r="D25" s="462" t="s">
        <v>2829</v>
      </c>
      <c r="E25" s="469"/>
      <c r="F25" s="2809">
        <f>'数据-取费表'!B48+'数据-取费表'!B49</f>
        <v>3.0499999999999999E-2</v>
      </c>
      <c r="G25" s="2773" t="s">
        <v>2289</v>
      </c>
      <c r="H25" s="2766"/>
      <c r="I25" s="2766"/>
      <c r="J25" s="2766"/>
      <c r="K25" s="2767"/>
    </row>
    <row r="26" spans="1:14" s="2104" customFormat="1" ht="13.5" customHeight="1">
      <c r="A26" s="2803" t="s">
        <v>1861</v>
      </c>
      <c r="B26" s="2986" t="s">
        <v>2836</v>
      </c>
      <c r="C26" s="2810">
        <f ca="1">C28</f>
        <v>858</v>
      </c>
      <c r="D26" s="467">
        <f ca="1">C27</f>
        <v>7.4200000000000002E-2</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6" customFormat="1" ht="13.5" customHeight="1">
      <c r="A27" s="803" t="s">
        <v>1856</v>
      </c>
      <c r="B27" s="2811" t="s">
        <v>496</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6" customFormat="1" ht="13.5" customHeight="1">
      <c r="A28" s="803" t="s">
        <v>1857</v>
      </c>
      <c r="B28" s="2811" t="s">
        <v>2838</v>
      </c>
      <c r="C28" s="2813">
        <f ca="1">ROUND(IF('数据-取费表'!B22&lt;=1,(C18+C19+C20+C23+C24)*F26*'数据-取费表'!B24/2,(C18+C19+C20+C23+C24)*(POWER((1+F26),'数据-取费表'!B24/2)-1)),0)</f>
        <v>858</v>
      </c>
      <c r="D28" s="472"/>
      <c r="E28" s="473"/>
      <c r="F28" s="474"/>
      <c r="G28" s="2534" t="str">
        <f>IF('数据-取费表'!B22&lt;=1,"（1）-（4）项×年利率×建设期÷2","（1）-（4）项×((1+年利率)^(建设期÷2)-1)")</f>
        <v>（1）-（4）项×((1+年利率)^(建设期÷2)-1)</v>
      </c>
      <c r="H28" s="2768"/>
      <c r="I28" s="2768"/>
      <c r="J28" s="2768"/>
      <c r="K28" s="279"/>
    </row>
    <row r="29" spans="1:14" s="2106" customFormat="1" ht="13.5" customHeight="1">
      <c r="A29" s="2814" t="s">
        <v>1862</v>
      </c>
      <c r="B29" s="2804" t="s">
        <v>497</v>
      </c>
      <c r="C29" s="2805">
        <f ca="1">ROUND(C6*F29/(1+'数据-取费表'!C42),0)</f>
        <v>4325</v>
      </c>
      <c r="D29" s="468"/>
      <c r="E29" s="468"/>
      <c r="F29" s="2987">
        <f>'数据-取费表'!B41</f>
        <v>5.6000000000000001E-2</v>
      </c>
      <c r="G29" s="2774" t="s">
        <v>498</v>
      </c>
      <c r="H29" s="2766"/>
      <c r="I29" s="2766"/>
      <c r="J29" s="2766"/>
      <c r="K29" s="2767"/>
    </row>
    <row r="30" spans="1:14" s="2107" customFormat="1" ht="13.5" customHeight="1">
      <c r="A30" s="1621" t="s">
        <v>1863</v>
      </c>
      <c r="B30" s="2815" t="s">
        <v>500</v>
      </c>
      <c r="C30" s="2810">
        <f ca="1">C31</f>
        <v>29398</v>
      </c>
      <c r="D30" s="477">
        <f ca="1">C32</f>
        <v>0.1032</v>
      </c>
      <c r="E30" s="469" t="s">
        <v>495</v>
      </c>
      <c r="F30" s="471"/>
      <c r="G30" s="2773" t="s">
        <v>2971</v>
      </c>
      <c r="H30" s="2766"/>
      <c r="I30" s="2766"/>
      <c r="J30" s="2766"/>
      <c r="K30" s="2767"/>
    </row>
    <row r="31" spans="1:14" s="2106" customFormat="1" ht="13.5" customHeight="1">
      <c r="A31" s="803" t="s">
        <v>1856</v>
      </c>
      <c r="B31" s="2811"/>
      <c r="C31" s="450">
        <f ca="1">C18+C19+C20+C23+C24+C26+C29</f>
        <v>29398</v>
      </c>
      <c r="D31" s="472"/>
      <c r="E31" s="473"/>
      <c r="F31" s="474"/>
      <c r="G31" s="261"/>
      <c r="H31" s="2768"/>
      <c r="I31" s="2768"/>
      <c r="J31" s="2768"/>
      <c r="K31" s="279"/>
    </row>
    <row r="32" spans="1:14" s="2106" customFormat="1" ht="13.5" customHeight="1">
      <c r="A32" s="803" t="s">
        <v>1857</v>
      </c>
      <c r="B32" s="2811"/>
      <c r="C32" s="53">
        <f ca="1">ROUND(C25+D26,4)</f>
        <v>0.1032</v>
      </c>
      <c r="D32" s="472"/>
      <c r="E32" s="473"/>
      <c r="F32" s="474"/>
      <c r="G32" s="261"/>
      <c r="H32" s="2768"/>
      <c r="I32" s="2768"/>
      <c r="J32" s="2768"/>
      <c r="K32" s="279"/>
    </row>
    <row r="33" spans="1:11" s="2108" customFormat="1" ht="13.5" customHeight="1">
      <c r="A33" s="2984" t="s">
        <v>2833</v>
      </c>
      <c r="B33" s="2982" t="s">
        <v>2831</v>
      </c>
      <c r="C33" s="478">
        <f ca="1">C35</f>
        <v>3632</v>
      </c>
      <c r="D33" s="467">
        <f ca="1">C34</f>
        <v>0.15440000000000001</v>
      </c>
      <c r="E33" s="469" t="s">
        <v>495</v>
      </c>
      <c r="F33" s="479">
        <f ca="1">IF(B1="",'数据-取费表'!Q16,INDIRECT("'数据-取费表'!q"&amp;$K$1))</f>
        <v>0.15</v>
      </c>
      <c r="G33" s="2769"/>
      <c r="H33" s="2770"/>
      <c r="I33" s="2770"/>
      <c r="J33" s="2770"/>
      <c r="K33" s="2771"/>
    </row>
    <row r="34" spans="1:11" s="2109" customFormat="1" ht="13.5" customHeight="1">
      <c r="A34" s="375" t="s">
        <v>1856</v>
      </c>
      <c r="B34" s="2816" t="s">
        <v>501</v>
      </c>
      <c r="C34" s="472">
        <f ca="1">ROUND((1+C25)*F33,4)</f>
        <v>0.15440000000000001</v>
      </c>
      <c r="D34" s="472"/>
      <c r="E34" s="473"/>
      <c r="F34" s="480"/>
      <c r="G34" s="261" t="s">
        <v>2290</v>
      </c>
      <c r="H34" s="2768"/>
      <c r="I34" s="2768"/>
      <c r="J34" s="2768"/>
      <c r="K34" s="279"/>
    </row>
    <row r="35" spans="1:11" s="2109" customFormat="1" ht="13.5" customHeight="1" thickBot="1">
      <c r="A35" s="1622" t="s">
        <v>1857</v>
      </c>
      <c r="B35" s="2983" t="s">
        <v>2839</v>
      </c>
      <c r="C35" s="1614">
        <f ca="1">ROUND((C18+C19+C20+C23+C24)*F33,0)</f>
        <v>3632</v>
      </c>
      <c r="D35" s="1615"/>
      <c r="E35" s="2817"/>
      <c r="F35" s="1616"/>
      <c r="G35" s="2775"/>
      <c r="H35" s="2776"/>
      <c r="I35" s="2776"/>
      <c r="J35" s="2776"/>
      <c r="K35" s="2777"/>
    </row>
    <row r="36" spans="1:11" s="2071" customFormat="1" ht="13.5" customHeight="1" thickBot="1">
      <c r="A36" s="284" t="s">
        <v>1844</v>
      </c>
      <c r="B36" s="2779"/>
      <c r="C36" s="2818">
        <f ca="1">ROUND((C6-C30-C33)/(1+D30+D33),0)</f>
        <v>38215</v>
      </c>
      <c r="D36" s="2779"/>
      <c r="E36" s="2779"/>
      <c r="F36" s="2779"/>
      <c r="G36" s="2778" t="s">
        <v>2840</v>
      </c>
      <c r="H36" s="2779"/>
      <c r="I36" s="2779"/>
      <c r="J36" s="2779"/>
      <c r="K36" s="2780"/>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2"/>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17348</v>
      </c>
      <c r="D13" s="451"/>
      <c r="E13" s="365"/>
      <c r="F13" s="452"/>
      <c r="G13" s="444"/>
      <c r="H13" s="447"/>
      <c r="I13" s="447"/>
      <c r="J13" s="447"/>
      <c r="K13" s="448"/>
    </row>
    <row r="14" spans="1:41" s="2102" customFormat="1" ht="13.5" customHeight="1">
      <c r="A14" s="1619" t="s">
        <v>1849</v>
      </c>
      <c r="B14" s="449" t="s">
        <v>480</v>
      </c>
      <c r="C14" s="53">
        <f ca="1">ROUND(C13*F14,0)</f>
        <v>867</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1735</v>
      </c>
      <c r="D16" s="451">
        <f ca="1">IF(B1="",'数据-汇总表'!E3,INDIRECT("'数据-取费表'!K"&amp;$K$1)+INDIRECT("'数据-取费表'!S"&amp;$K$1))</f>
        <v>86738.98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260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20210</v>
      </c>
      <c r="D18" s="461"/>
      <c r="E18" s="462"/>
      <c r="F18" s="462"/>
      <c r="G18" s="1323" t="s">
        <v>2432</v>
      </c>
      <c r="H18" s="447"/>
      <c r="I18" s="447"/>
      <c r="J18" s="447"/>
      <c r="K18" s="448"/>
    </row>
    <row r="19" spans="1:14" s="2105" customFormat="1" ht="13.5" customHeight="1">
      <c r="A19" s="1620" t="s">
        <v>1854</v>
      </c>
      <c r="B19" s="459" t="s">
        <v>493</v>
      </c>
      <c r="C19" s="460">
        <f ca="1">ROUND(C18*F19,0)</f>
        <v>505</v>
      </c>
      <c r="D19" s="462"/>
      <c r="E19" s="462"/>
      <c r="F19" s="466">
        <f>'数据-取费表'!B37</f>
        <v>2.5000000000000001E-2</v>
      </c>
      <c r="G19" s="444" t="s">
        <v>503</v>
      </c>
      <c r="H19" s="447"/>
      <c r="I19" s="447"/>
      <c r="J19" s="447"/>
      <c r="K19" s="448"/>
      <c r="L19" s="2107"/>
      <c r="M19" s="2107"/>
      <c r="N19" s="2107"/>
    </row>
    <row r="20" spans="1:14" s="2105" customFormat="1" ht="13.5" customHeight="1">
      <c r="A20" s="1620" t="s">
        <v>1855</v>
      </c>
      <c r="B20" s="459" t="s">
        <v>504</v>
      </c>
      <c r="C20" s="2980">
        <f>F20</f>
        <v>0.03</v>
      </c>
      <c r="D20" s="469" t="s">
        <v>505</v>
      </c>
      <c r="E20" s="469"/>
      <c r="F20" s="486">
        <f>'数据-取费表'!B38</f>
        <v>0.03</v>
      </c>
      <c r="G20" s="1323" t="s">
        <v>506</v>
      </c>
      <c r="H20" s="447"/>
      <c r="I20" s="447"/>
      <c r="J20" s="447"/>
      <c r="K20" s="448"/>
      <c r="L20" s="2107"/>
      <c r="M20" s="2107"/>
      <c r="N20" s="2107"/>
    </row>
    <row r="21" spans="1:14" s="2107" customFormat="1" ht="13.5" customHeight="1">
      <c r="A21" s="1620" t="s">
        <v>1858</v>
      </c>
      <c r="B21" s="461" t="s">
        <v>494</v>
      </c>
      <c r="C21" s="470">
        <f ca="1">C22</f>
        <v>734</v>
      </c>
      <c r="D21" s="467">
        <f ca="1">C23</f>
        <v>1.1000000000000001E-3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734</v>
      </c>
      <c r="D22" s="472"/>
      <c r="E22" s="473"/>
      <c r="F22" s="474"/>
      <c r="G22" s="2529"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1.1000000000000001E-3</v>
      </c>
      <c r="D23" s="472"/>
      <c r="E23" s="473"/>
      <c r="F23" s="474"/>
      <c r="G23" s="2529"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2" t="s">
        <v>2832</v>
      </c>
      <c r="C24" s="478">
        <f ca="1">C25</f>
        <v>3107</v>
      </c>
      <c r="D24" s="489">
        <f ca="1">C26</f>
        <v>4.4999999999999997E-3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3107</v>
      </c>
      <c r="D25" s="472"/>
      <c r="E25" s="473"/>
      <c r="F25" s="480"/>
      <c r="G25" s="1322" t="s">
        <v>2433</v>
      </c>
      <c r="H25" s="457"/>
      <c r="I25" s="457"/>
      <c r="J25" s="457"/>
      <c r="K25" s="458"/>
    </row>
    <row r="26" spans="1:14" s="2106" customFormat="1" ht="13.5" customHeight="1">
      <c r="A26" s="1619" t="s">
        <v>1849</v>
      </c>
      <c r="B26" s="1324" t="s">
        <v>509</v>
      </c>
      <c r="C26" s="491">
        <f ca="1">ROUND(F20*F24,4)</f>
        <v>4.4999999999999997E-3</v>
      </c>
      <c r="D26" s="472"/>
      <c r="E26" s="481"/>
      <c r="F26" s="480"/>
      <c r="G26" s="1322" t="s">
        <v>510</v>
      </c>
      <c r="H26" s="457"/>
      <c r="I26" s="457"/>
      <c r="J26" s="457"/>
      <c r="K26" s="458"/>
    </row>
    <row r="27" spans="1:14" s="2106" customFormat="1" ht="13.5" customHeight="1">
      <c r="A27" s="1623" t="s">
        <v>1867</v>
      </c>
      <c r="B27" s="459" t="s">
        <v>511</v>
      </c>
      <c r="C27" s="2981">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26952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4"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0" sqref="D2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5" t="s">
        <v>3036</v>
      </c>
      <c r="E1" s="2349" t="s">
        <v>2374</v>
      </c>
      <c r="F1" s="2350">
        <f ca="1">J53</f>
        <v>37.229999999999997</v>
      </c>
      <c r="G1" s="774">
        <f>MATCH(C1,'数据-取费表'!A6:A16,0)+5</f>
        <v>6</v>
      </c>
      <c r="H1" s="2036"/>
      <c r="I1" s="2037"/>
      <c r="J1" s="2037"/>
      <c r="K1" s="2038"/>
      <c r="L1" s="2037"/>
      <c r="M1" s="2037"/>
      <c r="N1" s="2039"/>
      <c r="O1" s="2039"/>
      <c r="P1" s="2039"/>
      <c r="Q1" s="2354"/>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81089</v>
      </c>
      <c r="C2" s="2043"/>
      <c r="D2" s="2041"/>
      <c r="E2" s="2042"/>
      <c r="F2" s="2042"/>
      <c r="G2" s="1577"/>
      <c r="H2" s="2043"/>
      <c r="I2" s="2043"/>
      <c r="J2" s="2043"/>
      <c r="K2" s="2044"/>
      <c r="L2" s="2043"/>
      <c r="M2" s="2043"/>
    </row>
    <row r="3" spans="1:33" ht="18" customHeight="1" thickBot="1">
      <c r="A3" s="833" t="s">
        <v>1727</v>
      </c>
      <c r="B3" s="834">
        <f ca="1">IF(ISERROR(B2*10000/F43),0,ROUND(B2*10000/F43,0))</f>
        <v>9349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4844</v>
      </c>
      <c r="D5" s="2458" t="s">
        <v>2461</v>
      </c>
      <c r="E5" s="2452"/>
      <c r="F5" s="2453"/>
      <c r="G5" s="1579"/>
      <c r="H5" s="781">
        <v>1</v>
      </c>
      <c r="I5" s="782" t="s">
        <v>2458</v>
      </c>
      <c r="J5" s="55">
        <f ca="1">J6+J10+J12</f>
        <v>0</v>
      </c>
      <c r="K5" s="2458" t="s">
        <v>2461</v>
      </c>
      <c r="L5" s="2452"/>
      <c r="M5" s="2453"/>
    </row>
    <row r="6" spans="1:33" ht="18" customHeight="1">
      <c r="A6" s="1816" t="s">
        <v>1824</v>
      </c>
      <c r="B6" s="3404" t="s">
        <v>2463</v>
      </c>
      <c r="C6" s="783">
        <f ca="1">ROUND(F6*F8*F7*(1-F9)/10000,0)</f>
        <v>4844</v>
      </c>
      <c r="D6" s="2459" t="s">
        <v>2462</v>
      </c>
      <c r="E6" s="784" t="s">
        <v>1738</v>
      </c>
      <c r="F6" s="785">
        <f ca="1">INDIRECT("'数据-取费表'!u"&amp;$G$1)</f>
        <v>1.7</v>
      </c>
      <c r="G6" s="1579"/>
      <c r="H6" s="2466" t="s">
        <v>2468</v>
      </c>
      <c r="I6" s="3404" t="s">
        <v>2463</v>
      </c>
      <c r="J6" s="783">
        <f ca="1">ROUND(M6*M8*M7*(1-M9)/10000,0)</f>
        <v>0</v>
      </c>
      <c r="K6" s="341" t="s">
        <v>1737</v>
      </c>
      <c r="L6" s="784" t="s">
        <v>1738</v>
      </c>
      <c r="M6" s="785">
        <f ca="1">INDIRECT("'数据-取费表'!z"&amp;$G$1)</f>
        <v>0</v>
      </c>
    </row>
    <row r="7" spans="1:33" ht="18" customHeight="1">
      <c r="A7" s="2462"/>
      <c r="B7" s="3405"/>
      <c r="C7" s="788"/>
      <c r="D7" s="789"/>
      <c r="E7" s="784" t="s">
        <v>1739</v>
      </c>
      <c r="F7" s="785">
        <f ca="1">IF(INDIRECT("'数据-取费表'!ah"&amp;$G$1)="",INDIRECT("'数据-取费表'!k"&amp;$G$1),INDIRECT("'数据-取费表'!ah"&amp;$G$1))</f>
        <v>86738.98</v>
      </c>
      <c r="G7" s="1579"/>
      <c r="H7" s="2451"/>
      <c r="I7" s="3405"/>
      <c r="J7" s="788"/>
      <c r="K7" s="789"/>
      <c r="L7" s="784" t="s">
        <v>1739</v>
      </c>
      <c r="M7" s="785">
        <f ca="1">F7</f>
        <v>86738.98</v>
      </c>
    </row>
    <row r="8" spans="1:33" ht="18" customHeight="1">
      <c r="A8" s="2455"/>
      <c r="B8" s="3406"/>
      <c r="C8" s="788"/>
      <c r="D8" s="789"/>
      <c r="E8" s="784" t="s">
        <v>1740</v>
      </c>
      <c r="F8" s="785">
        <f ca="1">INDIRECT("'数据-取费表'!ai"&amp;$G$1)</f>
        <v>365</v>
      </c>
      <c r="G8" s="1579"/>
      <c r="H8" s="2451"/>
      <c r="I8" s="3406"/>
      <c r="J8" s="788"/>
      <c r="K8" s="789"/>
      <c r="L8" s="784" t="s">
        <v>1740</v>
      </c>
      <c r="M8" s="785">
        <f ca="1">INDIRECT("'数据-取费表'!ai"&amp;$G$1)</f>
        <v>365</v>
      </c>
    </row>
    <row r="9" spans="1:33" ht="18" customHeight="1">
      <c r="A9" s="786"/>
      <c r="B9" s="3407"/>
      <c r="C9" s="788"/>
      <c r="D9" s="789"/>
      <c r="E9" s="784" t="s">
        <v>1741</v>
      </c>
      <c r="F9" s="794">
        <f ca="1">INDIRECT("'数据-取费表'!w"&amp;$G$1)</f>
        <v>0.1</v>
      </c>
      <c r="G9" s="1579"/>
      <c r="H9" s="2467"/>
      <c r="I9" s="3406"/>
      <c r="J9" s="788"/>
      <c r="K9" s="789"/>
      <c r="L9" s="795" t="s">
        <v>1741</v>
      </c>
      <c r="M9" s="796">
        <f ca="1">INDIRECT("'数据-取费表'!ab"&amp;$G$1)</f>
        <v>0</v>
      </c>
    </row>
    <row r="10" spans="1:33" ht="18" customHeight="1">
      <c r="A10" s="1816" t="s">
        <v>2466</v>
      </c>
      <c r="B10" s="2456" t="s">
        <v>2459</v>
      </c>
      <c r="C10" s="799">
        <f ca="1">ROUND(IF(F10="押一",C6/12*F11,IF(F10="押二",C6/12*2*F11,IF(F10="押三",C6/12*3*F11,C11*F11))),0)</f>
        <v>0</v>
      </c>
      <c r="D10" s="2463" t="s">
        <v>2973</v>
      </c>
      <c r="E10" s="2460" t="s">
        <v>2464</v>
      </c>
      <c r="F10" s="2583"/>
      <c r="G10" s="1579"/>
      <c r="H10" s="2523" t="s">
        <v>2469</v>
      </c>
      <c r="I10" s="2528" t="s">
        <v>2459</v>
      </c>
      <c r="J10" s="783">
        <f ca="1">ROUND(IF(M10="押一",J6/12*M11,IF(M10="押二",J6/12*2*M11,IF(M10="押三",J6/12*3*M11,J11*M11))),0)</f>
        <v>0</v>
      </c>
      <c r="K10" s="2463" t="s">
        <v>2973</v>
      </c>
      <c r="L10" s="2460" t="s">
        <v>2464</v>
      </c>
      <c r="M10" s="2583"/>
    </row>
    <row r="11" spans="1:33" ht="18" customHeight="1">
      <c r="A11" s="790"/>
      <c r="B11" s="2457" t="s">
        <v>2573</v>
      </c>
      <c r="C11" s="2461"/>
      <c r="D11" s="789"/>
      <c r="E11" s="2460" t="s">
        <v>2465</v>
      </c>
      <c r="F11" s="796">
        <f ca="1">'数据-取费表'!B39</f>
        <v>1.4999999999999999E-2</v>
      </c>
      <c r="G11" s="1579"/>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9"/>
      <c r="H12" s="2513" t="s">
        <v>2470</v>
      </c>
      <c r="I12" s="2526" t="s">
        <v>2460</v>
      </c>
      <c r="J12" s="2527"/>
      <c r="K12" s="2502"/>
      <c r="L12" s="2503"/>
      <c r="M12" s="2516"/>
    </row>
    <row r="13" spans="1:33" ht="18" customHeight="1" thickTop="1">
      <c r="A13" s="1815">
        <v>2</v>
      </c>
      <c r="B13" s="1813" t="s">
        <v>1742</v>
      </c>
      <c r="C13" s="792">
        <f ca="1">ROUND(C29*F13,0)</f>
        <v>26952</v>
      </c>
      <c r="D13" s="1820" t="s">
        <v>2297</v>
      </c>
      <c r="E13" s="1820" t="s">
        <v>1744</v>
      </c>
      <c r="F13" s="2498">
        <f ca="1">INDIRECT("'数据-取费表'!y"&amp;$G$1)</f>
        <v>1</v>
      </c>
      <c r="G13" s="1579"/>
      <c r="H13" s="1815">
        <v>2</v>
      </c>
      <c r="I13" s="1813" t="s">
        <v>1742</v>
      </c>
      <c r="J13" s="1805">
        <f ca="1">ROUND(J14*J15,0)</f>
        <v>0</v>
      </c>
      <c r="K13" s="1807" t="s">
        <v>1743</v>
      </c>
      <c r="L13" s="2514"/>
      <c r="M13" s="2515"/>
    </row>
    <row r="14" spans="1:33" ht="18" customHeight="1">
      <c r="A14" s="1634" t="s">
        <v>1884</v>
      </c>
      <c r="B14" s="784" t="s">
        <v>645</v>
      </c>
      <c r="C14" s="804">
        <f ca="1">INDIRECT("'数据-取费表'!m"&amp;$G$1)+INDIRECT("'数据-取费表'!t"&amp;$G$1)</f>
        <v>17348</v>
      </c>
      <c r="D14" s="1965" t="s">
        <v>1745</v>
      </c>
      <c r="E14" s="1966"/>
      <c r="F14" s="805"/>
      <c r="G14" s="1579"/>
      <c r="H14" s="1635" t="s">
        <v>1830</v>
      </c>
      <c r="I14" s="2217" t="s">
        <v>2826</v>
      </c>
      <c r="J14" s="53">
        <f ca="1">C29</f>
        <v>26952</v>
      </c>
      <c r="K14" s="26"/>
      <c r="L14" s="801"/>
      <c r="M14" s="802"/>
    </row>
    <row r="15" spans="1:33" s="2050" customFormat="1" ht="18" customHeight="1" thickBot="1">
      <c r="A15" s="1634" t="s">
        <v>1885</v>
      </c>
      <c r="B15" s="784" t="s">
        <v>647</v>
      </c>
      <c r="C15" s="53">
        <f ca="1">ROUND(C14*F15,0)</f>
        <v>867</v>
      </c>
      <c r="D15" s="806" t="s">
        <v>1746</v>
      </c>
      <c r="E15" s="806" t="s">
        <v>1747</v>
      </c>
      <c r="F15" s="807">
        <f>'数据-取费表'!B33</f>
        <v>0.05</v>
      </c>
      <c r="G15" s="1580"/>
      <c r="H15" s="2513" t="s">
        <v>1889</v>
      </c>
      <c r="I15" s="2508" t="s">
        <v>1744</v>
      </c>
      <c r="J15" s="2517">
        <f ca="1">INDIRECT("'数据-取费表'!ad"&amp;$G$1)</f>
        <v>0</v>
      </c>
      <c r="K15" s="2518"/>
      <c r="L15" s="2519"/>
      <c r="M15" s="2520"/>
      <c r="N15" s="2049"/>
      <c r="O15" s="2049"/>
      <c r="P15" s="2049"/>
      <c r="Q15" s="2355"/>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2746</v>
      </c>
      <c r="K16" s="1807" t="s">
        <v>1750</v>
      </c>
      <c r="L16" s="2448"/>
      <c r="M16" s="2453"/>
    </row>
    <row r="17" spans="1:33" s="2050" customFormat="1" ht="18" customHeight="1">
      <c r="A17" s="1634" t="s">
        <v>1887</v>
      </c>
      <c r="B17" s="784" t="s">
        <v>653</v>
      </c>
      <c r="C17" s="53">
        <f ca="1">ROUND(F17*(F43+INDIRECT("'数据-取费表'!S"&amp;$G$1))/10000,0)</f>
        <v>1735</v>
      </c>
      <c r="D17" s="784" t="s">
        <v>1751</v>
      </c>
      <c r="E17" s="784" t="s">
        <v>1752</v>
      </c>
      <c r="F17" s="56">
        <f>'数据-取费表'!B35</f>
        <v>200</v>
      </c>
      <c r="G17" s="1580"/>
      <c r="H17" s="1635" t="s">
        <v>1830</v>
      </c>
      <c r="I17" s="784" t="s">
        <v>656</v>
      </c>
      <c r="J17" s="53">
        <f ca="1">ROUND(IF(项目基本情况!B11="自然人",J5*M17,J18+J19+J20),0)</f>
        <v>2342</v>
      </c>
      <c r="K17" s="2447" t="s">
        <v>1753</v>
      </c>
      <c r="L17" s="2446" t="s">
        <v>1754</v>
      </c>
      <c r="M17" s="810" t="str">
        <f ca="1">IF(项目基本情况!B11="企业","",IF(INDIRECT("'数据-取费表'!c"&amp;$G$1)="住宅",5%,IF(M6*M7*M8/12/(1+'数据-取费表'!C42)&gt;20000,12%,7%)))</f>
        <v/>
      </c>
      <c r="N17" s="2049"/>
      <c r="O17" s="2049"/>
      <c r="P17" s="2049"/>
      <c r="Q17" s="2355"/>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260</v>
      </c>
      <c r="D18" s="784" t="s">
        <v>1746</v>
      </c>
      <c r="E18" s="784" t="s">
        <v>1747</v>
      </c>
      <c r="F18" s="809">
        <f>'数据-取费表'!B36</f>
        <v>1.4999999999999999E-2</v>
      </c>
      <c r="G18" s="1580"/>
      <c r="H18" s="1634" t="s">
        <v>1884</v>
      </c>
      <c r="I18" s="784" t="s">
        <v>1755</v>
      </c>
      <c r="J18" s="53">
        <f ca="1">ROUND(J5*M18/1.05,1)</f>
        <v>0</v>
      </c>
      <c r="K18" s="2446" t="s">
        <v>1756</v>
      </c>
      <c r="L18" s="784" t="s">
        <v>1747</v>
      </c>
      <c r="M18" s="809">
        <f>'数据-取费表'!B41</f>
        <v>5.6000000000000001E-2</v>
      </c>
      <c r="N18" s="2049"/>
      <c r="O18" s="2049"/>
      <c r="P18" s="2049"/>
      <c r="Q18" s="2355"/>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20210</v>
      </c>
      <c r="D19" s="261" t="s">
        <v>1757</v>
      </c>
      <c r="E19" s="1968"/>
      <c r="F19" s="56"/>
      <c r="G19" s="1579"/>
      <c r="H19" s="1634" t="s">
        <v>1885</v>
      </c>
      <c r="I19" s="784" t="s">
        <v>1758</v>
      </c>
      <c r="J19" s="53">
        <f ca="1">IF(K19="按租金收入计税",ROUND(J5*M19,1),ROUND(C29*F33*0.7,1))</f>
        <v>2264</v>
      </c>
      <c r="K19" s="811" t="s">
        <v>665</v>
      </c>
      <c r="L19" s="784" t="s">
        <v>1747</v>
      </c>
      <c r="M19" s="809">
        <f>IF(K19="按租金收入计税",'数据-取费表'!B51,'数据-取费表'!B50)</f>
        <v>1.2E-2</v>
      </c>
    </row>
    <row r="20" spans="1:33" s="2050" customFormat="1" ht="18" customHeight="1">
      <c r="A20" s="1635" t="s">
        <v>1889</v>
      </c>
      <c r="B20" s="784" t="s">
        <v>666</v>
      </c>
      <c r="C20" s="53">
        <f ca="1">ROUND(C19*F20,0)</f>
        <v>505</v>
      </c>
      <c r="D20" s="812" t="s">
        <v>1759</v>
      </c>
      <c r="E20" s="784" t="s">
        <v>1747</v>
      </c>
      <c r="F20" s="809">
        <f>'数据-取费表'!B37</f>
        <v>2.5000000000000001E-2</v>
      </c>
      <c r="G20" s="1580"/>
      <c r="H20" s="1637" t="s">
        <v>1880</v>
      </c>
      <c r="I20" s="341" t="s">
        <v>1760</v>
      </c>
      <c r="J20" s="54">
        <f ca="1">ROUND(M20*M21/10000,0)</f>
        <v>78</v>
      </c>
      <c r="K20" s="814" t="s">
        <v>1761</v>
      </c>
      <c r="L20" s="784" t="s">
        <v>1762</v>
      </c>
      <c r="M20" s="640">
        <f>'数据-取费表'!B52</f>
        <v>18</v>
      </c>
      <c r="N20" s="2049"/>
      <c r="O20" s="2049"/>
      <c r="P20" s="2049"/>
      <c r="Q20" s="2355"/>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0.03</v>
      </c>
      <c r="G21" s="1580"/>
      <c r="H21" s="2468"/>
      <c r="I21" s="793"/>
      <c r="J21" s="69"/>
      <c r="K21" s="816"/>
      <c r="L21" s="784" t="s">
        <v>1766</v>
      </c>
      <c r="M21" s="785">
        <f ca="1">INDIRECT("'数据-取费表'!r"&amp;$G$1)</f>
        <v>43369.49</v>
      </c>
      <c r="N21" s="2049"/>
      <c r="O21" s="2049"/>
      <c r="P21" s="2049"/>
      <c r="Q21" s="2355"/>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4"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404</v>
      </c>
      <c r="K22" s="2446"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734</v>
      </c>
      <c r="D23" s="2533" t="str">
        <f>IF(F23&lt;=1,"(建造成本+管理费用)×利率×(建设周期÷2)","(建造成本+管理费用)×((1+利率)^(建设周期÷2)-1)")</f>
        <v>(建造成本+管理费用)×((1+利率)^(建设周期÷2)-1)</v>
      </c>
      <c r="E23" s="784" t="s">
        <v>1770</v>
      </c>
      <c r="F23" s="640">
        <f>'数据-取费表'!B20</f>
        <v>1.5</v>
      </c>
      <c r="G23" s="1580"/>
      <c r="H23" s="1635" t="s">
        <v>1890</v>
      </c>
      <c r="I23" s="784" t="s">
        <v>679</v>
      </c>
      <c r="J23" s="53">
        <f ca="1">ROUND(J13*M23,0)</f>
        <v>0</v>
      </c>
      <c r="K23" s="2446" t="s">
        <v>1771</v>
      </c>
      <c r="L23" s="784" t="s">
        <v>1747</v>
      </c>
      <c r="M23" s="818">
        <f ca="1">INDIRECT("'数据-取费表'!Al"&amp;$G$1)</f>
        <v>1.5E-3</v>
      </c>
      <c r="N23" s="2049"/>
      <c r="O23" s="2049"/>
      <c r="P23" s="2049"/>
      <c r="Q23" s="2355"/>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1.1000000000000001E-3</v>
      </c>
      <c r="D24" s="2533" t="str">
        <f>IF(F23&lt;=1,"销售费用×利率×(建设周期÷2)","销售费用×((1+利率)^(建设周期÷2)-1)")</f>
        <v>销售费用×((1+利率)^(建设周期÷2)-1)</v>
      </c>
      <c r="E24" s="784" t="s">
        <v>1773</v>
      </c>
      <c r="F24" s="819">
        <f ca="1">'数据-取费表'!B40</f>
        <v>4.7500000000000001E-2</v>
      </c>
      <c r="G24" s="1580"/>
      <c r="H24" s="2513" t="s">
        <v>1891</v>
      </c>
      <c r="I24" s="2508" t="s">
        <v>666</v>
      </c>
      <c r="J24" s="2506">
        <f ca="1">ROUND(J5*M24,0)</f>
        <v>0</v>
      </c>
      <c r="K24" s="2507" t="s">
        <v>1774</v>
      </c>
      <c r="L24" s="2508" t="s">
        <v>1747</v>
      </c>
      <c r="M24" s="2504">
        <f ca="1">INDIRECT("'数据-取费表'!Am"&amp;$G$1)</f>
        <v>0.01</v>
      </c>
      <c r="N24" s="2049"/>
      <c r="O24" s="2049"/>
      <c r="P24" s="2049"/>
      <c r="Q24" s="2355"/>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0" t="s">
        <v>2822</v>
      </c>
      <c r="J25" s="792">
        <f ca="1">J5-J16</f>
        <v>-2746</v>
      </c>
      <c r="K25" s="2510" t="s">
        <v>1777</v>
      </c>
      <c r="L25" s="2511"/>
      <c r="M25" s="2512"/>
    </row>
    <row r="26" spans="1:33" ht="18" customHeight="1">
      <c r="A26" s="1634" t="s">
        <v>1831</v>
      </c>
      <c r="B26" s="784" t="s">
        <v>2438</v>
      </c>
      <c r="C26" s="53">
        <f ca="1">ROUND((C19+C20)*F26,0)</f>
        <v>3107</v>
      </c>
      <c r="D26" s="812" t="s">
        <v>1778</v>
      </c>
      <c r="E26" s="795" t="s">
        <v>1779</v>
      </c>
      <c r="F26" s="794">
        <f ca="1">INDIRECT("'数据-取费表'!q"&amp;$G$1)</f>
        <v>0.15</v>
      </c>
      <c r="G26" s="1579"/>
      <c r="H26" s="2464"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4.4999999999999997E-3</v>
      </c>
      <c r="D27" s="812" t="s">
        <v>1782</v>
      </c>
      <c r="E27" s="806"/>
      <c r="F27" s="807"/>
      <c r="G27" s="1579"/>
      <c r="H27" s="2465"/>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5"/>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5" t="s">
        <v>1892</v>
      </c>
      <c r="B29" s="2503" t="s">
        <v>2300</v>
      </c>
      <c r="C29" s="2506">
        <f ca="1">ROUND((C19+C20+C23+C26)/(1-F21-C24-C27-C28),0)</f>
        <v>26952</v>
      </c>
      <c r="D29" s="2507"/>
      <c r="E29" s="2508"/>
      <c r="F29" s="2509"/>
      <c r="G29" s="1580"/>
      <c r="H29" s="823" t="s">
        <v>1787</v>
      </c>
      <c r="I29" s="824" t="s">
        <v>1788</v>
      </c>
      <c r="J29" s="825">
        <f ca="1">ROUND(J26/(1+F40)^F41,0)</f>
        <v>0</v>
      </c>
      <c r="K29" s="826" t="s">
        <v>1789</v>
      </c>
      <c r="L29" s="827"/>
      <c r="M29" s="828">
        <f ca="1">INDIRECT("'数据-取费表'!k"&amp;$G$1)</f>
        <v>86738.98</v>
      </c>
      <c r="N29" s="2049"/>
      <c r="O29" s="2049"/>
      <c r="P29" s="2049"/>
      <c r="Q29" s="2355"/>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1411</v>
      </c>
      <c r="D30" s="1807" t="s">
        <v>1791</v>
      </c>
      <c r="E30" s="2448"/>
      <c r="F30" s="2453"/>
      <c r="G30" s="2048"/>
      <c r="H30" s="2051"/>
      <c r="I30" s="2052"/>
      <c r="J30" s="2053"/>
      <c r="K30" s="2054"/>
      <c r="L30" s="2055"/>
      <c r="M30" s="2056"/>
    </row>
    <row r="31" spans="1:33" ht="18" customHeight="1">
      <c r="A31" s="1635" t="s">
        <v>1830</v>
      </c>
      <c r="B31" s="784" t="s">
        <v>656</v>
      </c>
      <c r="C31" s="53">
        <f ca="1">ROUND(IF(项目基本情况!B11="自然人",C5*F31,C32+C33+C34),1)</f>
        <v>917.7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258.3</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581.29999999999995</v>
      </c>
      <c r="D33" s="811" t="s">
        <v>3037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78.099999999999994</v>
      </c>
      <c r="D34" s="814" t="s">
        <v>1799</v>
      </c>
      <c r="E34" s="784" t="s">
        <v>1800</v>
      </c>
      <c r="F34" s="640">
        <f>'数据-取费表'!B52</f>
        <v>18</v>
      </c>
      <c r="G34" s="2048"/>
      <c r="H34" s="2051"/>
      <c r="I34" s="835" t="s">
        <v>1813</v>
      </c>
      <c r="J34" s="836"/>
      <c r="K34" s="2066"/>
      <c r="L34" s="2065"/>
      <c r="M34" s="2065"/>
    </row>
    <row r="35" spans="1:18" ht="18" customHeight="1">
      <c r="A35" s="815"/>
      <c r="B35" s="793"/>
      <c r="C35" s="69"/>
      <c r="D35" s="816"/>
      <c r="E35" s="784" t="s">
        <v>1801</v>
      </c>
      <c r="F35" s="785">
        <f ca="1">INDIRECT("'数据-取费表'!r"&amp;$G$1)</f>
        <v>43369.49</v>
      </c>
      <c r="G35" s="2048"/>
      <c r="H35" s="2051"/>
      <c r="I35" s="837" t="s">
        <v>1814</v>
      </c>
      <c r="J35" s="838">
        <f ca="1">ROUND(C13*J36,0)</f>
        <v>2291</v>
      </c>
      <c r="K35" s="2064"/>
      <c r="L35" s="2063"/>
      <c r="M35" s="2063"/>
    </row>
    <row r="36" spans="1:18" ht="18" customHeight="1">
      <c r="A36" s="1635" t="s">
        <v>1889</v>
      </c>
      <c r="B36" s="784" t="s">
        <v>1802</v>
      </c>
      <c r="C36" s="53">
        <f ca="1">ROUND(C29*F36,1)</f>
        <v>404.3</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40.4</v>
      </c>
      <c r="D37" s="1963" t="s">
        <v>1804</v>
      </c>
      <c r="E37" s="784" t="s">
        <v>1796</v>
      </c>
      <c r="F37" s="818">
        <f ca="1">INDIRECT("'数据-取费表'!Al"&amp;$G$1)</f>
        <v>1.5E-3</v>
      </c>
      <c r="G37" s="2048"/>
      <c r="H37" s="2063"/>
      <c r="I37" s="841" t="s">
        <v>1816</v>
      </c>
      <c r="J37" s="842"/>
      <c r="K37" s="2068"/>
      <c r="L37" s="2063"/>
      <c r="M37" s="2063"/>
    </row>
    <row r="38" spans="1:18" ht="18" customHeight="1" thickBot="1">
      <c r="A38" s="2513" t="s">
        <v>1891</v>
      </c>
      <c r="B38" s="2508" t="s">
        <v>666</v>
      </c>
      <c r="C38" s="2506">
        <f ca="1">ROUND(C5*F38,1)</f>
        <v>48.4</v>
      </c>
      <c r="D38" s="2507" t="s">
        <v>1805</v>
      </c>
      <c r="E38" s="2508" t="s">
        <v>1796</v>
      </c>
      <c r="F38" s="2504">
        <f ca="1">INDIRECT("'数据-取费表'!Am"&amp;$G$1)</f>
        <v>0.01</v>
      </c>
      <c r="G38" s="2048"/>
      <c r="H38" s="2063"/>
      <c r="I38" s="843" t="s">
        <v>1817</v>
      </c>
      <c r="J38" s="844"/>
      <c r="K38" s="2069"/>
      <c r="L38" s="2063"/>
      <c r="M38" s="2063"/>
    </row>
    <row r="39" spans="1:18" ht="24.6" customHeight="1" thickTop="1">
      <c r="A39" s="1815" t="s">
        <v>1894</v>
      </c>
      <c r="B39" s="2960" t="s">
        <v>2822</v>
      </c>
      <c r="C39" s="792">
        <f ca="1">C5-C30</f>
        <v>3433</v>
      </c>
      <c r="D39" s="2510" t="s">
        <v>1806</v>
      </c>
      <c r="E39" s="2511"/>
      <c r="F39" s="2512"/>
      <c r="G39" s="2048"/>
      <c r="H39" s="2063"/>
      <c r="I39" s="837" t="s">
        <v>1818</v>
      </c>
      <c r="J39" s="845">
        <f ca="1">ROUND(J35/C39,3)</f>
        <v>0.66700000000000004</v>
      </c>
      <c r="K39" s="2069"/>
      <c r="L39" s="2063"/>
      <c r="M39" s="2063"/>
    </row>
    <row r="40" spans="1:18" ht="18" customHeight="1">
      <c r="A40" s="781" t="s">
        <v>1895</v>
      </c>
      <c r="B40" s="2218" t="s">
        <v>2301</v>
      </c>
      <c r="C40" s="783">
        <f ca="1">ROUND(C39*(1-((1+F42)/(1+F40))^F41)/(F40-F42),0)</f>
        <v>81089</v>
      </c>
      <c r="D40" s="814" t="s">
        <v>1807</v>
      </c>
      <c r="E40" s="784" t="s">
        <v>2419</v>
      </c>
      <c r="F40" s="794">
        <f ca="1">INDIRECT("'数据-取费表'!I"&amp;$G$1)</f>
        <v>5.5E-2</v>
      </c>
      <c r="G40" s="2048"/>
      <c r="H40" s="2048"/>
      <c r="I40" s="837" t="s">
        <v>1819</v>
      </c>
      <c r="J40" s="845">
        <f ca="1">1-J39</f>
        <v>0.33299999999999996</v>
      </c>
      <c r="K40" s="2069"/>
      <c r="L40" s="2048"/>
      <c r="M40" s="2048"/>
    </row>
    <row r="41" spans="1:18" ht="18" customHeight="1">
      <c r="A41" s="786"/>
      <c r="B41" s="787"/>
      <c r="C41" s="788"/>
      <c r="D41" s="821" t="s">
        <v>1808</v>
      </c>
      <c r="E41" s="784" t="s">
        <v>2963</v>
      </c>
      <c r="F41" s="822">
        <f ca="1">IF(INDIRECT("'数据-取费表'!af"&amp;$G$1)=0,INDIRECT("'数据-取费表'!ae"&amp;$G$1),INDIRECT("'数据-取费表'!af"&amp;$G$1))</f>
        <v>37.229999999999997</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0.33200000000000002</v>
      </c>
      <c r="K42" s="2068"/>
      <c r="L42" s="1974"/>
      <c r="M42" s="1974"/>
    </row>
    <row r="43" spans="1:18" ht="18" customHeight="1" thickBot="1">
      <c r="A43" s="823" t="s">
        <v>1787</v>
      </c>
      <c r="B43" s="824" t="s">
        <v>1810</v>
      </c>
      <c r="C43" s="825">
        <f ca="1">ROUND(C40*10000/F43,0)</f>
        <v>9349</v>
      </c>
      <c r="D43" s="826" t="s">
        <v>1811</v>
      </c>
      <c r="E43" s="827" t="s">
        <v>1812</v>
      </c>
      <c r="F43" s="828">
        <f ca="1">INDIRECT("'数据-取费表'!k"&amp;$G$1)</f>
        <v>86738.98</v>
      </c>
      <c r="G43" s="2048"/>
      <c r="H43" s="1974"/>
      <c r="I43" s="847" t="s">
        <v>1822</v>
      </c>
      <c r="J43" s="848">
        <f ca="1">1-J42</f>
        <v>0.66799999999999993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6">
        <f ca="1">C67-C40</f>
        <v>-89303</v>
      </c>
      <c r="D46" s="2071"/>
      <c r="E46" s="2071"/>
      <c r="F46" s="2071"/>
      <c r="I46" s="2340" t="s">
        <v>2343</v>
      </c>
      <c r="J46" s="2341"/>
      <c r="K46" s="2342"/>
      <c r="L46" s="3107">
        <f>IF(OR(M47="住宅",D1="土地（套用方法）"),0,IF(L48&gt;J51,L60,J60))</f>
        <v>0</v>
      </c>
      <c r="O46" s="2356" t="s">
        <v>2410</v>
      </c>
      <c r="P46" s="1579"/>
      <c r="Q46" s="1590"/>
      <c r="R46" s="1579"/>
    </row>
    <row r="47" spans="1:18" s="2045" customFormat="1" ht="18" customHeight="1" thickBot="1">
      <c r="A47" s="2334">
        <v>1</v>
      </c>
      <c r="B47" s="2335" t="s">
        <v>635</v>
      </c>
      <c r="C47" s="2536">
        <f ca="1">C48+C52+C54</f>
        <v>0</v>
      </c>
      <c r="D47" s="2071"/>
      <c r="E47" s="2071"/>
      <c r="F47" s="2071"/>
      <c r="I47" s="3097" t="s">
        <v>2344</v>
      </c>
      <c r="J47" s="2343" t="s">
        <v>3038</v>
      </c>
      <c r="K47" s="3104" t="s">
        <v>2349</v>
      </c>
      <c r="L47" s="3108">
        <f ca="1">INDIRECT("'数据-取费表'!d"&amp;$G$1)</f>
        <v>40</v>
      </c>
      <c r="M47" s="1590" t="str">
        <f>IF(ISNUMBER(FIND("住宅",C1)),"住宅","非住宅")</f>
        <v>非住宅</v>
      </c>
      <c r="O47" s="2357" t="s">
        <v>2375</v>
      </c>
      <c r="P47" s="2358" t="s">
        <v>2376</v>
      </c>
      <c r="Q47" s="2359" t="s">
        <v>2377</v>
      </c>
      <c r="R47" s="2358" t="s">
        <v>2378</v>
      </c>
    </row>
    <row r="48" spans="1:18" s="2045" customFormat="1" ht="18" customHeight="1" thickBot="1">
      <c r="A48" s="2604" t="s">
        <v>2537</v>
      </c>
      <c r="B48" s="2605" t="s">
        <v>2538</v>
      </c>
      <c r="C48" s="2336">
        <f ca="1">ROUND(F48*F50*F49*(1-F51)/10000,0)</f>
        <v>0</v>
      </c>
      <c r="D48" s="2337" t="s">
        <v>636</v>
      </c>
      <c r="E48" s="2338" t="s">
        <v>2296</v>
      </c>
      <c r="F48" s="2339"/>
      <c r="G48" s="2076"/>
      <c r="I48" s="3076" t="s">
        <v>2345</v>
      </c>
      <c r="J48" s="2344" t="s">
        <v>2350</v>
      </c>
      <c r="K48" s="3105" t="s">
        <v>2351</v>
      </c>
      <c r="L48" s="1894">
        <f ca="1">INDIRECT("'数据-取费表'!f"&amp;$G$1)</f>
        <v>38.729999999999997</v>
      </c>
      <c r="O48" s="2360" t="s">
        <v>2379</v>
      </c>
      <c r="P48" s="2361" t="s">
        <v>2405</v>
      </c>
      <c r="Q48" s="2362">
        <f ca="1">C40+J29</f>
        <v>81089</v>
      </c>
      <c r="R48" s="2361" t="s">
        <v>2380</v>
      </c>
    </row>
    <row r="49" spans="1:18" s="2045" customFormat="1" ht="18" customHeight="1" thickBot="1">
      <c r="A49" s="786"/>
      <c r="B49" s="787"/>
      <c r="C49" s="788"/>
      <c r="D49" s="789"/>
      <c r="E49" s="784" t="s">
        <v>1739</v>
      </c>
      <c r="F49" s="785">
        <f ca="1">F7</f>
        <v>86738.98</v>
      </c>
      <c r="G49" s="2076"/>
      <c r="H49" s="2079"/>
      <c r="I49" s="3076" t="s">
        <v>2346</v>
      </c>
      <c r="J49" s="2345"/>
      <c r="K49" s="3106" t="s">
        <v>2352</v>
      </c>
      <c r="L49" s="2346"/>
      <c r="O49" s="2360" t="s">
        <v>2381</v>
      </c>
      <c r="P49" s="2361" t="s">
        <v>2406</v>
      </c>
      <c r="Q49" s="2362">
        <f ca="1">J60</f>
        <v>10781</v>
      </c>
      <c r="R49" s="2361" t="s">
        <v>2382</v>
      </c>
    </row>
    <row r="50" spans="1:18" s="2045" customFormat="1" ht="18" customHeight="1" thickBot="1">
      <c r="A50" s="786"/>
      <c r="B50" s="787"/>
      <c r="C50" s="788"/>
      <c r="D50" s="789"/>
      <c r="E50" s="784" t="s">
        <v>1740</v>
      </c>
      <c r="F50" s="785">
        <f ca="1">F8</f>
        <v>365</v>
      </c>
      <c r="G50" s="2081"/>
      <c r="H50" s="2079"/>
      <c r="I50" s="3076" t="s">
        <v>2347</v>
      </c>
      <c r="J50" s="3101">
        <f>SUMPRODUCT((I63:I65=J47)*(J62:L62=J48)*(J63:L65))</f>
        <v>60</v>
      </c>
      <c r="K50" s="3106" t="s">
        <v>2353</v>
      </c>
      <c r="L50" s="2346"/>
      <c r="O50" s="2363" t="s">
        <v>2383</v>
      </c>
      <c r="P50" s="2361" t="s">
        <v>2407</v>
      </c>
      <c r="Q50" s="2362">
        <f ca="1">C29</f>
        <v>26952</v>
      </c>
      <c r="R50" s="2361" t="s">
        <v>2380</v>
      </c>
    </row>
    <row r="51" spans="1:18" s="2045" customFormat="1" ht="18" customHeight="1" thickBot="1">
      <c r="A51" s="786"/>
      <c r="B51" s="787"/>
      <c r="C51" s="788"/>
      <c r="D51" s="789"/>
      <c r="E51" s="784" t="s">
        <v>640</v>
      </c>
      <c r="F51" s="2333"/>
      <c r="H51" s="2079"/>
      <c r="I51" s="3098" t="s">
        <v>2348</v>
      </c>
      <c r="J51" s="3102">
        <f>IF(J49="",J50,J49+J50-YEAR('数据-取费表'!B2))</f>
        <v>60</v>
      </c>
      <c r="K51" s="3076" t="s">
        <v>2354</v>
      </c>
      <c r="L51" s="3109">
        <f ca="1">ROUND(-PV(INDIRECT("'数据-取费表'!h"&amp;$G$1),L48,(C39-C13*J36),0),0)</f>
        <v>19390</v>
      </c>
      <c r="O51" s="2363" t="s">
        <v>2384</v>
      </c>
      <c r="P51" s="2361" t="s">
        <v>2385</v>
      </c>
      <c r="Q51" s="2364">
        <f ca="1">J58</f>
        <v>0.4</v>
      </c>
      <c r="R51" s="2365"/>
    </row>
    <row r="52" spans="1:18" s="2045" customFormat="1" ht="18" customHeight="1" thickBot="1">
      <c r="A52" s="781" t="s">
        <v>2536</v>
      </c>
      <c r="B52" s="2456" t="s">
        <v>2459</v>
      </c>
      <c r="C52" s="799">
        <f ca="1">ROUND(IF(F52="押一",C48/12*F11,IF(F52="押二",C48/12*2*F11,IF(F52="押三",C48/12*3*F11,C53*F11))),0)</f>
        <v>0</v>
      </c>
      <c r="D52" s="2463" t="s">
        <v>2974</v>
      </c>
      <c r="E52" s="2460" t="s">
        <v>2464</v>
      </c>
      <c r="F52" s="2583"/>
      <c r="I52" s="3099" t="s">
        <v>2421</v>
      </c>
      <c r="J52" s="2347"/>
      <c r="K52" s="3099" t="s">
        <v>2420</v>
      </c>
      <c r="L52" s="2347"/>
      <c r="O52" s="2363" t="s">
        <v>2386</v>
      </c>
      <c r="P52" s="2361" t="s">
        <v>2387</v>
      </c>
      <c r="Q52" s="2364">
        <f>J52</f>
        <v>0</v>
      </c>
      <c r="R52" s="2365"/>
    </row>
    <row r="53" spans="1:18" s="2045" customFormat="1" ht="39.75" customHeight="1" thickBot="1">
      <c r="A53" s="786"/>
      <c r="B53" s="2457" t="s">
        <v>2573</v>
      </c>
      <c r="C53" s="2461"/>
      <c r="D53" s="2463"/>
      <c r="E53" s="2460"/>
      <c r="F53" s="800"/>
      <c r="I53" s="3100" t="s">
        <v>2977</v>
      </c>
      <c r="J53" s="3103">
        <f ca="1">IF(M47="住宅",IF(D1="——",MAX(J51,L48),MAX(J51,L48-'数据-取费表'!B20)),IF(D1="——",MIN(J51,L48),MIN(J51,L48-'数据-取费表'!B20)))</f>
        <v>37.229999999999997</v>
      </c>
      <c r="K53" s="3402" t="s">
        <v>2965</v>
      </c>
      <c r="L53" s="3403"/>
      <c r="O53" s="2363" t="s">
        <v>2388</v>
      </c>
      <c r="P53" s="2361" t="s">
        <v>2389</v>
      </c>
      <c r="Q53" s="2362">
        <f ca="1">J53</f>
        <v>37.229999999999997</v>
      </c>
      <c r="R53" s="2361" t="s">
        <v>2390</v>
      </c>
    </row>
    <row r="54" spans="1:18" s="2045" customFormat="1" ht="18" customHeight="1" thickBot="1">
      <c r="A54" s="2499" t="s">
        <v>2467</v>
      </c>
      <c r="B54" s="2500" t="s">
        <v>2460</v>
      </c>
      <c r="C54" s="2501"/>
      <c r="D54" s="2463"/>
      <c r="E54" s="2460"/>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0" t="s">
        <v>2391</v>
      </c>
      <c r="P54" s="2361" t="s">
        <v>2408</v>
      </c>
      <c r="Q54" s="2362">
        <f ca="1">Q48+Q49</f>
        <v>91870</v>
      </c>
      <c r="R54" s="2365" t="s">
        <v>2392</v>
      </c>
    </row>
    <row r="55" spans="1:18" s="2045" customFormat="1" ht="18" customHeight="1" thickTop="1" thickBot="1">
      <c r="A55" s="797">
        <v>2</v>
      </c>
      <c r="B55" s="798" t="s">
        <v>644</v>
      </c>
      <c r="C55" s="799">
        <f ca="1">C13</f>
        <v>26952</v>
      </c>
      <c r="D55" s="795"/>
      <c r="E55" s="795"/>
      <c r="F55" s="800"/>
      <c r="I55" s="3112" t="s">
        <v>2355</v>
      </c>
      <c r="J55" s="3051">
        <f ca="1">ROUND(IF(J47="钢混",J57/J50,1-(1-2%)*(J50-J57)/J50),3)</f>
        <v>0.35499999999999998</v>
      </c>
      <c r="K55" s="3113" t="s">
        <v>2356</v>
      </c>
      <c r="L55" s="2348"/>
      <c r="O55" s="2366" t="s">
        <v>2411</v>
      </c>
      <c r="P55" s="1579"/>
      <c r="Q55" s="1590"/>
      <c r="R55" s="1579"/>
    </row>
    <row r="56" spans="1:18" s="2045" customFormat="1" ht="42.75" customHeight="1" thickBot="1">
      <c r="A56" s="1636"/>
      <c r="B56" s="2217" t="s">
        <v>2302</v>
      </c>
      <c r="C56" s="53">
        <f ca="1">C29</f>
        <v>26952</v>
      </c>
      <c r="D56" s="2601"/>
      <c r="E56" s="784"/>
      <c r="F56" s="809"/>
      <c r="I56" s="3114" t="s">
        <v>2357</v>
      </c>
      <c r="J56" s="3124" t="s">
        <v>3035</v>
      </c>
      <c r="K56" s="3076" t="s">
        <v>2362</v>
      </c>
      <c r="L56" s="1894" t="str">
        <f ca="1">IF(L48&lt;J51,"——",L48-J51)</f>
        <v>——</v>
      </c>
      <c r="O56" s="2357" t="s">
        <v>2375</v>
      </c>
      <c r="P56" s="2358" t="s">
        <v>2376</v>
      </c>
      <c r="Q56" s="2359" t="s">
        <v>2377</v>
      </c>
      <c r="R56" s="2358" t="s">
        <v>2378</v>
      </c>
    </row>
    <row r="57" spans="1:18" s="2045" customFormat="1" ht="28.5" customHeight="1" thickBot="1">
      <c r="A57" s="797" t="s">
        <v>1748</v>
      </c>
      <c r="B57" s="798" t="s">
        <v>651</v>
      </c>
      <c r="C57" s="799">
        <f ca="1">ROUND(C58+C63+C64+C65,0)</f>
        <v>523</v>
      </c>
      <c r="D57" s="26" t="s">
        <v>1750</v>
      </c>
      <c r="E57" s="2602"/>
      <c r="F57" s="56"/>
      <c r="I57" s="3115" t="s">
        <v>2358</v>
      </c>
      <c r="J57" s="3116">
        <f ca="1">IF(OR(M47="住宅",J51&lt;L48,J56="是"),"——",J51-L48)</f>
        <v>21.270000000000003</v>
      </c>
      <c r="K57" s="3076" t="s">
        <v>2363</v>
      </c>
      <c r="L57" s="1894" t="str">
        <f ca="1">IF(L48&lt;J51,"——",IF(L55="比较法",L49,IF(L55="基准地价",L50,L51)))</f>
        <v>——</v>
      </c>
      <c r="O57" s="2360" t="s">
        <v>2379</v>
      </c>
      <c r="P57" s="2361" t="s">
        <v>2409</v>
      </c>
      <c r="Q57" s="2362">
        <f ca="1">C40+J29</f>
        <v>81089</v>
      </c>
      <c r="R57" s="2361" t="s">
        <v>2380</v>
      </c>
    </row>
    <row r="58" spans="1:18" s="2045" customFormat="1" ht="28.5" customHeight="1" thickBot="1">
      <c r="A58" s="1635" t="s">
        <v>1824</v>
      </c>
      <c r="B58" s="784" t="s">
        <v>656</v>
      </c>
      <c r="C58" s="53">
        <f ca="1">ROUND(IF(项目基本情况!B11="自然人",C47*F58,C59+C60+C61),1)</f>
        <v>78.099999999999994</v>
      </c>
      <c r="D58" s="2600" t="s">
        <v>657</v>
      </c>
      <c r="E58" s="2601" t="s">
        <v>690</v>
      </c>
      <c r="F58" s="810" t="str">
        <f ca="1">IF(项目基本情况!B11="企业","",IF(INDIRECT("'数据-取费表'!c"&amp;$G$1)="住宅",5%,IF(F48*F49*F50/12/(1+'数据-取费表'!C42)&gt;20000,12%,7%)))</f>
        <v/>
      </c>
      <c r="I58" s="3115" t="s">
        <v>2359</v>
      </c>
      <c r="J58" s="3052">
        <f ca="1">IF(J55&lt;0.4,0.4,J55)</f>
        <v>0.4</v>
      </c>
      <c r="K58" s="3076" t="s">
        <v>2364</v>
      </c>
      <c r="L58" s="1894" t="e">
        <f ca="1">ROUND(POWER(1+L52,L47-L48)*(POWER(1+L52,L48)-1)/(POWER(1+L52,L47)-1),4)</f>
        <v>#DIV/0!</v>
      </c>
      <c r="O58" s="2360" t="s">
        <v>2381</v>
      </c>
      <c r="P58" s="2361" t="s">
        <v>2412</v>
      </c>
      <c r="Q58" s="2362">
        <f ca="1">L60</f>
        <v>0</v>
      </c>
      <c r="R58" s="2365" t="s">
        <v>2414</v>
      </c>
    </row>
    <row r="59" spans="1:18" s="2045" customFormat="1" ht="28.5" customHeight="1" thickBot="1">
      <c r="A59" s="1634" t="s">
        <v>1831</v>
      </c>
      <c r="B59" s="784" t="s">
        <v>660</v>
      </c>
      <c r="C59" s="53">
        <f ca="1">ROUND(C47*F59/1.05,1)</f>
        <v>0</v>
      </c>
      <c r="D59" s="2601" t="s">
        <v>1756</v>
      </c>
      <c r="E59" s="784" t="s">
        <v>1747</v>
      </c>
      <c r="F59" s="809">
        <f t="shared" ref="F59:F65" si="0">F32</f>
        <v>5.6000000000000001E-2</v>
      </c>
      <c r="I59" s="3115" t="s">
        <v>2360</v>
      </c>
      <c r="J59" s="3116">
        <f ca="1">IF(OR(M47="住宅",J51&lt;L48,J56="是"),"——",ROUND(C29*J58,0))</f>
        <v>10781</v>
      </c>
      <c r="K59" s="3076"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5" customFormat="1" ht="18" customHeight="1" thickBot="1">
      <c r="A60" s="1634"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7" t="s">
        <v>2361</v>
      </c>
      <c r="J60" s="3118">
        <f ca="1">IF(OR(M47="住宅",J51&lt;L48,J56="是"),"0",ROUND(J59/(1+J52)^J53,0))</f>
        <v>10781</v>
      </c>
      <c r="K60" s="3119" t="s">
        <v>2366</v>
      </c>
      <c r="L60" s="3118">
        <f ca="1">IF(OR(M47="住宅",L48&lt;J51),0,ROUND(L57*(L58/L59-1),0))</f>
        <v>0</v>
      </c>
      <c r="O60" s="2363" t="s">
        <v>2384</v>
      </c>
      <c r="P60" s="2361" t="s">
        <v>2393</v>
      </c>
      <c r="Q60" s="2364">
        <f>L52</f>
        <v>0</v>
      </c>
      <c r="R60" s="2365"/>
    </row>
    <row r="61" spans="1:18" s="2045" customFormat="1" ht="18" customHeight="1" thickBot="1">
      <c r="A61" s="1637" t="s">
        <v>1833</v>
      </c>
      <c r="B61" s="341" t="s">
        <v>668</v>
      </c>
      <c r="C61" s="54">
        <f ca="1">ROUND(F61*F62/10000,1)</f>
        <v>78.099999999999994</v>
      </c>
      <c r="D61" s="814" t="s">
        <v>669</v>
      </c>
      <c r="E61" s="784" t="s">
        <v>670</v>
      </c>
      <c r="F61" s="640">
        <f t="shared" si="0"/>
        <v>18</v>
      </c>
      <c r="K61" s="2072"/>
      <c r="O61" s="2363" t="s">
        <v>2386</v>
      </c>
      <c r="P61" s="2361" t="s">
        <v>2394</v>
      </c>
      <c r="Q61" s="2362" t="e">
        <f ca="1">L58</f>
        <v>#DIV/0!</v>
      </c>
      <c r="R61" s="2365" t="s">
        <v>2395</v>
      </c>
    </row>
    <row r="62" spans="1:18" s="2045" customFormat="1" ht="15.75" thickBot="1">
      <c r="A62" s="815"/>
      <c r="B62" s="793"/>
      <c r="C62" s="69"/>
      <c r="D62" s="816"/>
      <c r="E62" s="784" t="s">
        <v>674</v>
      </c>
      <c r="F62" s="785">
        <f t="shared" ca="1" si="0"/>
        <v>43369.49</v>
      </c>
      <c r="I62" s="3120" t="s">
        <v>2367</v>
      </c>
      <c r="J62" s="3121" t="s">
        <v>2368</v>
      </c>
      <c r="K62" s="3121" t="s">
        <v>2369</v>
      </c>
      <c r="L62" s="3121" t="s">
        <v>2350</v>
      </c>
      <c r="M62" s="3122" t="s">
        <v>2941</v>
      </c>
      <c r="O62" s="2363" t="s">
        <v>2388</v>
      </c>
      <c r="P62" s="2361" t="str">
        <f>K59</f>
        <v>建设期及建筑物耐用年限下的土地年期修正系数Kn</v>
      </c>
      <c r="Q62" s="2362" t="e">
        <f ca="1">L59</f>
        <v>#DIV/0!</v>
      </c>
      <c r="R62" s="2365" t="s">
        <v>2397</v>
      </c>
    </row>
    <row r="63" spans="1:18" s="2045" customFormat="1" ht="15.75" thickBot="1">
      <c r="A63" s="1635" t="s">
        <v>1889</v>
      </c>
      <c r="B63" s="784" t="s">
        <v>676</v>
      </c>
      <c r="C63" s="53">
        <f ca="1">ROUND(C56*F63,1)</f>
        <v>404.3</v>
      </c>
      <c r="D63" s="2601" t="s">
        <v>1803</v>
      </c>
      <c r="E63" s="784" t="s">
        <v>1747</v>
      </c>
      <c r="F63" s="817">
        <f t="shared" ca="1" si="0"/>
        <v>1.4999999999999999E-2</v>
      </c>
      <c r="I63" s="3120" t="s">
        <v>2370</v>
      </c>
      <c r="J63" s="3121">
        <v>70</v>
      </c>
      <c r="K63" s="3121">
        <v>50</v>
      </c>
      <c r="L63" s="3121">
        <v>80</v>
      </c>
      <c r="M63" s="3123">
        <v>0.02</v>
      </c>
      <c r="O63" s="2360" t="s">
        <v>2391</v>
      </c>
      <c r="P63" s="2361" t="s">
        <v>2408</v>
      </c>
      <c r="Q63" s="2362">
        <f ca="1">Q57+Q58</f>
        <v>81089</v>
      </c>
      <c r="R63" s="2365" t="s">
        <v>2392</v>
      </c>
    </row>
    <row r="64" spans="1:18" s="2045" customFormat="1" ht="16.5" thickBot="1">
      <c r="A64" s="1635" t="s">
        <v>1890</v>
      </c>
      <c r="B64" s="784" t="s">
        <v>679</v>
      </c>
      <c r="C64" s="53">
        <f ca="1">ROUND(C55*F64,1)</f>
        <v>40.4</v>
      </c>
      <c r="D64" s="2601" t="s">
        <v>680</v>
      </c>
      <c r="E64" s="784" t="s">
        <v>1747</v>
      </c>
      <c r="F64" s="818">
        <f t="shared" ca="1" si="0"/>
        <v>1.5E-3</v>
      </c>
      <c r="I64" s="3120" t="s">
        <v>2371</v>
      </c>
      <c r="J64" s="3121">
        <v>50</v>
      </c>
      <c r="K64" s="3121">
        <v>35</v>
      </c>
      <c r="L64" s="3121">
        <v>60</v>
      </c>
      <c r="M64" s="846">
        <v>0</v>
      </c>
      <c r="O64" s="2366" t="s">
        <v>2415</v>
      </c>
      <c r="P64" s="1579"/>
      <c r="Q64" s="1590"/>
      <c r="R64" s="1579"/>
    </row>
    <row r="65" spans="1:18" s="2045" customFormat="1" ht="15.75" thickBot="1">
      <c r="A65" s="1635" t="s">
        <v>1891</v>
      </c>
      <c r="B65" s="784" t="s">
        <v>666</v>
      </c>
      <c r="C65" s="53">
        <f ca="1">ROUND(C47*F65,1)</f>
        <v>0</v>
      </c>
      <c r="D65" s="2601" t="s">
        <v>683</v>
      </c>
      <c r="E65" s="784" t="s">
        <v>1747</v>
      </c>
      <c r="F65" s="794">
        <f t="shared" ca="1" si="0"/>
        <v>0.01</v>
      </c>
      <c r="I65" s="3120" t="s">
        <v>2372</v>
      </c>
      <c r="J65" s="3121">
        <v>40</v>
      </c>
      <c r="K65" s="3121">
        <v>30</v>
      </c>
      <c r="L65" s="3121">
        <v>50</v>
      </c>
      <c r="M65" s="3123">
        <v>0.02</v>
      </c>
      <c r="O65" s="2357" t="s">
        <v>2375</v>
      </c>
      <c r="P65" s="2358" t="s">
        <v>2376</v>
      </c>
      <c r="Q65" s="2359" t="s">
        <v>2377</v>
      </c>
      <c r="R65" s="2358" t="s">
        <v>2378</v>
      </c>
    </row>
    <row r="66" spans="1:18" s="2045" customFormat="1" ht="24.75" thickBot="1">
      <c r="A66" s="797" t="s">
        <v>1776</v>
      </c>
      <c r="B66" s="2961" t="s">
        <v>2822</v>
      </c>
      <c r="C66" s="799">
        <f ca="1">C47-C57</f>
        <v>-523</v>
      </c>
      <c r="D66" s="2600" t="s">
        <v>700</v>
      </c>
      <c r="E66" s="2599"/>
      <c r="F66" s="820"/>
      <c r="K66" s="2072"/>
      <c r="O66" s="2360" t="s">
        <v>2379</v>
      </c>
      <c r="P66" s="2361" t="s">
        <v>2409</v>
      </c>
      <c r="Q66" s="2362">
        <f ca="1">C40+J29</f>
        <v>81089</v>
      </c>
      <c r="R66" s="2361" t="s">
        <v>2380</v>
      </c>
    </row>
    <row r="67" spans="1:18" s="2045" customFormat="1" ht="20.25" thickBot="1">
      <c r="A67" s="781" t="s">
        <v>1780</v>
      </c>
      <c r="B67" s="2218" t="s">
        <v>2301</v>
      </c>
      <c r="C67" s="783">
        <f ca="1">ROUND(C66*(1-((1+F69)/(1+F67))^F68)/(F67-F69),0)</f>
        <v>-8214</v>
      </c>
      <c r="D67" s="814" t="s">
        <v>704</v>
      </c>
      <c r="E67" s="784" t="s">
        <v>705</v>
      </c>
      <c r="F67" s="794">
        <f ca="1">F40</f>
        <v>5.5E-2</v>
      </c>
      <c r="K67" s="2072"/>
      <c r="O67" s="2360" t="s">
        <v>2381</v>
      </c>
      <c r="P67" s="2361" t="s">
        <v>2412</v>
      </c>
      <c r="Q67" s="2362">
        <f ca="1">L60</f>
        <v>0</v>
      </c>
      <c r="R67" s="2365" t="s">
        <v>2414</v>
      </c>
    </row>
    <row r="68" spans="1:18" ht="21.75" thickBot="1">
      <c r="A68" s="786"/>
      <c r="B68" s="787"/>
      <c r="C68" s="788"/>
      <c r="D68" s="821" t="s">
        <v>1808</v>
      </c>
      <c r="E68" s="784" t="s">
        <v>1784</v>
      </c>
      <c r="F68" s="822">
        <f ca="1">F41</f>
        <v>37.229999999999997</v>
      </c>
      <c r="O68" s="2363" t="s">
        <v>2383</v>
      </c>
      <c r="P68" s="2361" t="s">
        <v>2413</v>
      </c>
      <c r="Q68" s="2367">
        <f ca="1">L51</f>
        <v>19390</v>
      </c>
      <c r="R68" s="2368" t="s">
        <v>2416</v>
      </c>
    </row>
    <row r="69" spans="1:18" ht="20.25" thickBot="1">
      <c r="A69" s="790"/>
      <c r="B69" s="791"/>
      <c r="C69" s="792"/>
      <c r="D69" s="816"/>
      <c r="E69" s="784" t="s">
        <v>710</v>
      </c>
      <c r="F69" s="2333"/>
      <c r="O69" s="2363" t="s">
        <v>2384</v>
      </c>
      <c r="P69" s="2369" t="s">
        <v>2398</v>
      </c>
      <c r="Q69" s="2362">
        <f ca="1">ROUND(Q70-Q71*Q72,0)</f>
        <v>1142</v>
      </c>
      <c r="R69" s="2365"/>
    </row>
    <row r="70" spans="1:18" ht="15.75" thickBot="1">
      <c r="A70" s="823" t="s">
        <v>1787</v>
      </c>
      <c r="B70" s="824" t="s">
        <v>1810</v>
      </c>
      <c r="C70" s="825">
        <f ca="1">ROUND(C67*10000/F70,0)</f>
        <v>-947</v>
      </c>
      <c r="D70" s="826" t="s">
        <v>1811</v>
      </c>
      <c r="E70" s="827" t="s">
        <v>1812</v>
      </c>
      <c r="F70" s="828">
        <f ca="1">F43</f>
        <v>86738.98</v>
      </c>
      <c r="O70" s="2363" t="s">
        <v>2399</v>
      </c>
      <c r="P70" s="2369" t="s">
        <v>2400</v>
      </c>
      <c r="Q70" s="2362">
        <f ca="1">C39</f>
        <v>3433</v>
      </c>
      <c r="R70" s="2361" t="s">
        <v>2380</v>
      </c>
    </row>
    <row r="71" spans="1:18" ht="15.75" thickBot="1">
      <c r="O71" s="2363" t="s">
        <v>2401</v>
      </c>
      <c r="P71" s="2369" t="s">
        <v>2402</v>
      </c>
      <c r="Q71" s="2362">
        <f ca="1">C13</f>
        <v>26952</v>
      </c>
      <c r="R71" s="2361" t="s">
        <v>2380</v>
      </c>
    </row>
    <row r="72" spans="1:18" ht="15.75" thickBot="1">
      <c r="O72" s="2363" t="s">
        <v>2403</v>
      </c>
      <c r="P72" s="2369" t="s">
        <v>2404</v>
      </c>
      <c r="Q72" s="2364">
        <f ca="1">J36</f>
        <v>8.5000000000000006E-2</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建设期及建筑物耐用年限下的土地年期修正系数Kn</v>
      </c>
      <c r="Q75" s="2362" t="e">
        <f ca="1">L59</f>
        <v>#DIV/0!</v>
      </c>
      <c r="R75" s="2365" t="s">
        <v>2397</v>
      </c>
    </row>
    <row r="76" spans="1:18" ht="15.75" thickBot="1">
      <c r="O76" s="2360" t="s">
        <v>2391</v>
      </c>
      <c r="P76" s="2361" t="s">
        <v>2408</v>
      </c>
      <c r="Q76" s="2362">
        <f ca="1">Q66+Q67</f>
        <v>81089</v>
      </c>
      <c r="R76" s="236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3" t="s">
        <v>522</v>
      </c>
      <c r="D6" s="3384"/>
      <c r="E6" s="3413" t="s">
        <v>523</v>
      </c>
      <c r="F6" s="3414"/>
      <c r="G6" s="3383" t="s">
        <v>524</v>
      </c>
      <c r="H6" s="3384"/>
      <c r="I6" s="3383" t="s">
        <v>525</v>
      </c>
      <c r="J6" s="3384"/>
      <c r="K6" s="514" t="s">
        <v>526</v>
      </c>
      <c r="L6" s="2119"/>
      <c r="M6" s="2120"/>
      <c r="N6" s="2120"/>
      <c r="O6" s="2120"/>
      <c r="P6" s="3385" t="s">
        <v>527</v>
      </c>
      <c r="Q6" s="3386"/>
      <c r="R6" s="3371" t="s">
        <v>523</v>
      </c>
      <c r="S6" s="3372"/>
      <c r="T6" s="3371" t="s">
        <v>524</v>
      </c>
      <c r="U6" s="3372"/>
      <c r="V6" s="3391" t="s">
        <v>525</v>
      </c>
      <c r="W6" s="3391"/>
      <c r="X6" s="1554"/>
      <c r="Y6" s="3371" t="s">
        <v>527</v>
      </c>
      <c r="Z6" s="3372"/>
      <c r="AA6" s="3366" t="s">
        <v>523</v>
      </c>
      <c r="AB6" s="3367" t="s">
        <v>524</v>
      </c>
      <c r="AC6" s="3366" t="s">
        <v>525</v>
      </c>
    </row>
    <row r="7" spans="1:29" ht="15">
      <c r="A7" s="515"/>
      <c r="B7" s="516"/>
      <c r="C7" s="3394" t="s">
        <v>2928</v>
      </c>
      <c r="D7" s="3395"/>
      <c r="E7" s="3415" t="s">
        <v>2929</v>
      </c>
      <c r="F7" s="3416"/>
      <c r="G7" s="3394" t="s">
        <v>2930</v>
      </c>
      <c r="H7" s="3395"/>
      <c r="I7" s="3394" t="s">
        <v>2931</v>
      </c>
      <c r="J7" s="3395"/>
      <c r="K7" s="514"/>
      <c r="L7" s="2119"/>
      <c r="M7" s="2120"/>
      <c r="N7" s="2120"/>
      <c r="O7" s="2120"/>
      <c r="P7" s="3387"/>
      <c r="Q7" s="3388"/>
      <c r="R7" s="3373"/>
      <c r="S7" s="3374"/>
      <c r="T7" s="3373"/>
      <c r="U7" s="3374"/>
      <c r="V7" s="3391"/>
      <c r="W7" s="3391"/>
      <c r="X7" s="1554"/>
      <c r="Y7" s="3373"/>
      <c r="Z7" s="3374"/>
      <c r="AA7" s="3367"/>
      <c r="AB7" s="3367"/>
      <c r="AC7" s="3367"/>
    </row>
    <row r="8" spans="1:29" ht="15.75" thickBot="1">
      <c r="A8" s="517"/>
      <c r="B8" s="518"/>
      <c r="C8" s="3392" t="s">
        <v>2932</v>
      </c>
      <c r="D8" s="3393"/>
      <c r="E8" s="3417" t="s">
        <v>2932</v>
      </c>
      <c r="F8" s="3418"/>
      <c r="G8" s="3392" t="s">
        <v>2932</v>
      </c>
      <c r="H8" s="3393"/>
      <c r="I8" s="3392" t="s">
        <v>2932</v>
      </c>
      <c r="J8" s="3393"/>
      <c r="K8" s="514" t="s">
        <v>528</v>
      </c>
      <c r="L8" s="2119"/>
      <c r="M8" s="2120"/>
      <c r="N8" s="2120"/>
      <c r="O8" s="2120"/>
      <c r="P8" s="3389"/>
      <c r="Q8" s="3390"/>
      <c r="R8" s="3373"/>
      <c r="S8" s="3374"/>
      <c r="T8" s="3375"/>
      <c r="U8" s="3376"/>
      <c r="V8" s="3391"/>
      <c r="W8" s="3391"/>
      <c r="X8" s="1554"/>
      <c r="Y8" s="3375"/>
      <c r="Z8" s="3376"/>
      <c r="AA8" s="3368"/>
      <c r="AB8" s="3368"/>
      <c r="AC8" s="3368"/>
    </row>
    <row r="9" spans="1:29" s="1216" customFormat="1" ht="15.75" thickBot="1">
      <c r="A9" s="2865"/>
      <c r="B9" s="2872" t="s">
        <v>529</v>
      </c>
      <c r="C9" s="519">
        <f>'数据-取费表'!B2</f>
        <v>43599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9" t="s">
        <v>530</v>
      </c>
      <c r="Q9" s="3378"/>
      <c r="R9" s="1555" t="s">
        <v>8</v>
      </c>
      <c r="S9" s="1556">
        <f t="shared" ref="S9:S17" si="0">F9</f>
        <v>0</v>
      </c>
      <c r="T9" s="1555" t="s">
        <v>8</v>
      </c>
      <c r="U9" s="1556">
        <f t="shared" ref="U9:U17" si="1">H9</f>
        <v>0</v>
      </c>
      <c r="V9" s="1555" t="s">
        <v>8</v>
      </c>
      <c r="W9" s="1556">
        <f t="shared" ref="W9:W17" si="2">J9</f>
        <v>0</v>
      </c>
      <c r="X9" s="1557"/>
      <c r="Y9" s="3369" t="s">
        <v>530</v>
      </c>
      <c r="Z9" s="3370"/>
      <c r="AA9" s="1558" t="e">
        <f>D9/F9</f>
        <v>#DIV/0!</v>
      </c>
      <c r="AB9" s="1558" t="e">
        <f>D9/H9</f>
        <v>#DIV/0!</v>
      </c>
      <c r="AC9" s="1558" t="e">
        <f>D9/J9</f>
        <v>#DIV/0!</v>
      </c>
    </row>
    <row r="10" spans="1:29" s="1216"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9" t="s">
        <v>533</v>
      </c>
      <c r="Q10" s="3370"/>
      <c r="R10" s="1555" t="s">
        <v>8</v>
      </c>
      <c r="S10" s="1556">
        <f t="shared" si="0"/>
        <v>0</v>
      </c>
      <c r="T10" s="1555" t="s">
        <v>8</v>
      </c>
      <c r="U10" s="1556">
        <f t="shared" si="1"/>
        <v>0</v>
      </c>
      <c r="V10" s="1555" t="s">
        <v>8</v>
      </c>
      <c r="W10" s="1556">
        <f t="shared" si="2"/>
        <v>0</v>
      </c>
      <c r="X10" s="1557"/>
      <c r="Y10" s="3369" t="s">
        <v>533</v>
      </c>
      <c r="Z10" s="3370"/>
      <c r="AA10" s="1558" t="e">
        <f t="shared" ref="AA10:AA42" si="3">D10/F10</f>
        <v>#DIV/0!</v>
      </c>
      <c r="AB10" s="1558" t="e">
        <f t="shared" ref="AB10:AB42" si="4">D10/H10</f>
        <v>#DIV/0!</v>
      </c>
      <c r="AC10" s="1558" t="e">
        <f t="shared" ref="AC10:AC42" si="5">D10/J10</f>
        <v>#DIV/0!</v>
      </c>
    </row>
    <row r="11" spans="1:29" s="1216" customFormat="1" ht="15">
      <c r="A11" s="2867"/>
      <c r="B11" s="2874"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7" t="s">
        <v>535</v>
      </c>
      <c r="Q11" s="1147" t="str">
        <f t="shared" ref="Q11:Q17" si="6">B11</f>
        <v>用途</v>
      </c>
      <c r="R11" s="1555" t="s">
        <v>8</v>
      </c>
      <c r="S11" s="1556">
        <f t="shared" si="0"/>
        <v>100</v>
      </c>
      <c r="T11" s="1555" t="s">
        <v>8</v>
      </c>
      <c r="U11" s="1556">
        <f t="shared" si="1"/>
        <v>100</v>
      </c>
      <c r="V11" s="1555" t="s">
        <v>8</v>
      </c>
      <c r="W11" s="1556">
        <f t="shared" si="2"/>
        <v>100</v>
      </c>
      <c r="X11" s="1557"/>
      <c r="Y11" s="3334" t="s">
        <v>536</v>
      </c>
      <c r="Z11" s="1146" t="str">
        <f t="shared" ref="Z11:Z17" si="7">Q11</f>
        <v>用途</v>
      </c>
      <c r="AA11" s="1558">
        <f t="shared" si="3"/>
        <v>1</v>
      </c>
      <c r="AB11" s="1558">
        <f t="shared" si="4"/>
        <v>1</v>
      </c>
      <c r="AC11" s="1558">
        <f t="shared" si="5"/>
        <v>1</v>
      </c>
    </row>
    <row r="12" spans="1:29" s="1334" customFormat="1" ht="27">
      <c r="A12" s="2868"/>
      <c r="B12" s="2873"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77"/>
      <c r="Q12" s="1147" t="str">
        <f t="shared" si="6"/>
        <v>土地使用年限（年）</v>
      </c>
      <c r="R12" s="1555" t="s">
        <v>8</v>
      </c>
      <c r="S12" s="1556">
        <f t="shared" si="0"/>
        <v>101</v>
      </c>
      <c r="T12" s="1555" t="s">
        <v>8</v>
      </c>
      <c r="U12" s="1556">
        <f t="shared" si="1"/>
        <v>101</v>
      </c>
      <c r="V12" s="1555" t="s">
        <v>8</v>
      </c>
      <c r="W12" s="1556">
        <f t="shared" si="2"/>
        <v>101</v>
      </c>
      <c r="X12" s="1557"/>
      <c r="Y12" s="3334"/>
      <c r="Z12" s="1146" t="str">
        <f t="shared" si="7"/>
        <v>土地使用年限（年）</v>
      </c>
      <c r="AA12" s="1558">
        <f t="shared" si="3"/>
        <v>0.99009900990099009</v>
      </c>
      <c r="AB12" s="1558">
        <f t="shared" si="4"/>
        <v>0.99009900990099009</v>
      </c>
      <c r="AC12" s="1558">
        <f t="shared" si="5"/>
        <v>0.99009900990099009</v>
      </c>
    </row>
    <row r="13" spans="1:29" ht="15">
      <c r="A13" s="2869"/>
      <c r="B13" s="287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7"/>
      <c r="Q13" s="1147" t="str">
        <f t="shared" si="6"/>
        <v>容积率</v>
      </c>
      <c r="R13" s="1555" t="s">
        <v>8</v>
      </c>
      <c r="S13" s="1556" t="e">
        <f t="shared" si="0"/>
        <v>#N/A</v>
      </c>
      <c r="T13" s="1555" t="s">
        <v>8</v>
      </c>
      <c r="U13" s="1556" t="e">
        <f t="shared" si="1"/>
        <v>#N/A</v>
      </c>
      <c r="V13" s="1555" t="s">
        <v>8</v>
      </c>
      <c r="W13" s="1556" t="e">
        <f t="shared" si="2"/>
        <v>#N/A</v>
      </c>
      <c r="X13" s="1557"/>
      <c r="Y13" s="3334"/>
      <c r="Z13" s="1146" t="str">
        <f t="shared" si="7"/>
        <v>容积率</v>
      </c>
      <c r="AA13" s="1558" t="e">
        <f t="shared" si="3"/>
        <v>#N/A</v>
      </c>
      <c r="AB13" s="1558" t="e">
        <f t="shared" si="4"/>
        <v>#N/A</v>
      </c>
      <c r="AC13" s="1558"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7"/>
      <c r="Q14" s="1147">
        <f t="shared" si="6"/>
        <v>111</v>
      </c>
      <c r="R14" s="1555" t="s">
        <v>8</v>
      </c>
      <c r="S14" s="1556">
        <f t="shared" si="0"/>
        <v>100</v>
      </c>
      <c r="T14" s="1555" t="s">
        <v>8</v>
      </c>
      <c r="U14" s="1556">
        <f t="shared" si="1"/>
        <v>100</v>
      </c>
      <c r="V14" s="1555" t="s">
        <v>8</v>
      </c>
      <c r="W14" s="1556">
        <f t="shared" si="2"/>
        <v>100</v>
      </c>
      <c r="X14" s="1557"/>
      <c r="Y14" s="3334"/>
      <c r="Z14" s="1146">
        <f t="shared" si="7"/>
        <v>111</v>
      </c>
      <c r="AA14" s="1558">
        <f>D14/F14</f>
        <v>1</v>
      </c>
      <c r="AB14" s="1558">
        <f>D14/H14</f>
        <v>1</v>
      </c>
      <c r="AC14" s="1558">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7"/>
      <c r="Q15" s="1147">
        <f t="shared" si="6"/>
        <v>111</v>
      </c>
      <c r="R15" s="1555" t="s">
        <v>8</v>
      </c>
      <c r="S15" s="1556">
        <f t="shared" si="0"/>
        <v>100</v>
      </c>
      <c r="T15" s="1555" t="s">
        <v>8</v>
      </c>
      <c r="U15" s="1556">
        <f t="shared" si="1"/>
        <v>100</v>
      </c>
      <c r="V15" s="1555" t="s">
        <v>8</v>
      </c>
      <c r="W15" s="1556">
        <f t="shared" si="2"/>
        <v>100</v>
      </c>
      <c r="X15" s="1557"/>
      <c r="Y15" s="3334"/>
      <c r="Z15" s="1146">
        <f t="shared" si="7"/>
        <v>111</v>
      </c>
      <c r="AA15" s="1558">
        <f t="shared" si="3"/>
        <v>1</v>
      </c>
      <c r="AB15" s="1558">
        <f t="shared" si="4"/>
        <v>1</v>
      </c>
      <c r="AC15" s="1558">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7"/>
      <c r="Q16" s="1147">
        <f t="shared" si="6"/>
        <v>111</v>
      </c>
      <c r="R16" s="1555" t="s">
        <v>8</v>
      </c>
      <c r="S16" s="1556">
        <f t="shared" si="0"/>
        <v>100</v>
      </c>
      <c r="T16" s="1555" t="s">
        <v>8</v>
      </c>
      <c r="U16" s="1556">
        <f t="shared" si="1"/>
        <v>100</v>
      </c>
      <c r="V16" s="1555" t="s">
        <v>8</v>
      </c>
      <c r="W16" s="1556">
        <f t="shared" si="2"/>
        <v>100</v>
      </c>
      <c r="X16" s="1557"/>
      <c r="Y16" s="3334"/>
      <c r="Z16" s="1146">
        <f t="shared" si="7"/>
        <v>111</v>
      </c>
      <c r="AA16" s="1558">
        <f t="shared" si="3"/>
        <v>1</v>
      </c>
      <c r="AB16" s="1558">
        <f t="shared" si="4"/>
        <v>1</v>
      </c>
      <c r="AC16" s="1558">
        <f t="shared" si="5"/>
        <v>1</v>
      </c>
    </row>
    <row r="17" spans="1:29" ht="57">
      <c r="A17" s="2863"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9" t="s">
        <v>540</v>
      </c>
      <c r="Q17" s="1559" t="str">
        <f t="shared" si="6"/>
        <v>产业集聚程度</v>
      </c>
      <c r="R17" s="1560" t="s">
        <v>8</v>
      </c>
      <c r="S17" s="1561">
        <f t="shared" si="0"/>
        <v>100</v>
      </c>
      <c r="T17" s="1560" t="s">
        <v>8</v>
      </c>
      <c r="U17" s="1561">
        <f t="shared" si="1"/>
        <v>100</v>
      </c>
      <c r="V17" s="1560" t="s">
        <v>8</v>
      </c>
      <c r="W17" s="1561">
        <f t="shared" si="2"/>
        <v>100</v>
      </c>
      <c r="X17" s="1554"/>
      <c r="Y17" s="337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0"/>
      <c r="Q18" s="1559"/>
      <c r="R18" s="1560"/>
      <c r="S18" s="1561"/>
      <c r="T18" s="1560"/>
      <c r="U18" s="1561"/>
      <c r="V18" s="1560"/>
      <c r="W18" s="1561"/>
      <c r="X18" s="1554"/>
      <c r="Y18" s="338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0"/>
      <c r="Q19" s="1559" t="str">
        <f>B19</f>
        <v>交通便捷度</v>
      </c>
      <c r="R19" s="1560" t="s">
        <v>8</v>
      </c>
      <c r="S19" s="1561">
        <f>F19</f>
        <v>100</v>
      </c>
      <c r="T19" s="1560" t="s">
        <v>8</v>
      </c>
      <c r="U19" s="1561">
        <f>H19</f>
        <v>100</v>
      </c>
      <c r="V19" s="1560" t="s">
        <v>8</v>
      </c>
      <c r="W19" s="1561">
        <f>J19</f>
        <v>100</v>
      </c>
      <c r="X19" s="1554"/>
      <c r="Y19" s="338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0"/>
      <c r="Q20" s="1559"/>
      <c r="R20" s="1560"/>
      <c r="S20" s="1561"/>
      <c r="T20" s="1560"/>
      <c r="U20" s="1561"/>
      <c r="V20" s="1560"/>
      <c r="W20" s="1561"/>
      <c r="X20" s="1554"/>
      <c r="Y20" s="338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0"/>
      <c r="Q21" s="1559" t="str">
        <f t="shared" ref="Q21:Q35" si="8">B21</f>
        <v>区域土地利用方向</v>
      </c>
      <c r="R21" s="1560" t="s">
        <v>8</v>
      </c>
      <c r="S21" s="1561">
        <f>F21</f>
        <v>100</v>
      </c>
      <c r="T21" s="1560" t="s">
        <v>8</v>
      </c>
      <c r="U21" s="1561">
        <f>H21</f>
        <v>100</v>
      </c>
      <c r="V21" s="1560" t="s">
        <v>8</v>
      </c>
      <c r="W21" s="1561">
        <f>J21</f>
        <v>100</v>
      </c>
      <c r="X21" s="1554"/>
      <c r="Y21" s="338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0"/>
      <c r="Q22" s="1559"/>
      <c r="R22" s="1560"/>
      <c r="S22" s="1561"/>
      <c r="T22" s="1560"/>
      <c r="U22" s="1561"/>
      <c r="V22" s="1560"/>
      <c r="W22" s="1561"/>
      <c r="X22" s="1554"/>
      <c r="Y22" s="338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0"/>
      <c r="Q23" s="1559" t="str">
        <f t="shared" si="8"/>
        <v>环境状况</v>
      </c>
      <c r="R23" s="1560" t="s">
        <v>8</v>
      </c>
      <c r="S23" s="1561">
        <f>F23</f>
        <v>100</v>
      </c>
      <c r="T23" s="1560" t="s">
        <v>8</v>
      </c>
      <c r="U23" s="1561">
        <f>H23</f>
        <v>100</v>
      </c>
      <c r="V23" s="1560" t="s">
        <v>8</v>
      </c>
      <c r="W23" s="1561">
        <f>J23</f>
        <v>100</v>
      </c>
      <c r="X23" s="1554"/>
      <c r="Y23" s="338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0"/>
      <c r="Q24" s="1559"/>
      <c r="R24" s="1560"/>
      <c r="S24" s="1561"/>
      <c r="T24" s="1560"/>
      <c r="U24" s="1561"/>
      <c r="V24" s="1560"/>
      <c r="W24" s="1561"/>
      <c r="X24" s="1554"/>
      <c r="Y24" s="3380"/>
      <c r="Z24" s="1562"/>
      <c r="AA24" s="1563">
        <v>1</v>
      </c>
      <c r="AB24" s="1563">
        <v>1</v>
      </c>
      <c r="AC24" s="1563">
        <v>1</v>
      </c>
    </row>
    <row r="25" spans="1:29" s="1216" customFormat="1" ht="42.75">
      <c r="A25" s="577"/>
      <c r="B25" s="2555"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0"/>
      <c r="Q25" s="1147" t="str">
        <f t="shared" si="8"/>
        <v>公共配套设施</v>
      </c>
      <c r="R25" s="1555" t="s">
        <v>8</v>
      </c>
      <c r="S25" s="1556">
        <f>F25</f>
        <v>100</v>
      </c>
      <c r="T25" s="1555" t="s">
        <v>8</v>
      </c>
      <c r="U25" s="1556">
        <f>H25</f>
        <v>100</v>
      </c>
      <c r="V25" s="1555" t="s">
        <v>8</v>
      </c>
      <c r="W25" s="1556">
        <f>J25</f>
        <v>100</v>
      </c>
      <c r="X25" s="1557"/>
      <c r="Y25" s="3380"/>
      <c r="Z25" s="1146" t="str">
        <f>Q25</f>
        <v>公共配套设施</v>
      </c>
      <c r="AA25" s="1563">
        <f>D25/F25</f>
        <v>1</v>
      </c>
      <c r="AB25" s="1563">
        <f>D25/H25</f>
        <v>1</v>
      </c>
      <c r="AC25" s="1563">
        <f>D25/J25</f>
        <v>1</v>
      </c>
    </row>
    <row r="26" spans="1:29" s="1216" customFormat="1" ht="15">
      <c r="A26" s="577"/>
      <c r="B26" s="595"/>
      <c r="C26" s="2554"/>
      <c r="D26" s="555"/>
      <c r="E26" s="554"/>
      <c r="F26" s="555"/>
      <c r="G26" s="554"/>
      <c r="H26" s="555"/>
      <c r="I26" s="576"/>
      <c r="J26" s="555"/>
      <c r="K26" s="531"/>
      <c r="L26" s="2121"/>
      <c r="M26" s="2122"/>
      <c r="N26" s="2122"/>
      <c r="O26" s="2123"/>
      <c r="P26" s="3380"/>
      <c r="Q26" s="1147"/>
      <c r="R26" s="1555"/>
      <c r="S26" s="1556"/>
      <c r="T26" s="1555"/>
      <c r="U26" s="1556"/>
      <c r="V26" s="1555"/>
      <c r="W26" s="1556"/>
      <c r="X26" s="1557"/>
      <c r="Y26" s="3380"/>
      <c r="Z26" s="1146"/>
      <c r="AA26" s="1558">
        <v>1</v>
      </c>
      <c r="AB26" s="1558">
        <v>1</v>
      </c>
      <c r="AC26" s="1558">
        <v>1</v>
      </c>
    </row>
    <row r="27" spans="1:29" s="1216" customFormat="1" ht="28.5">
      <c r="A27" s="577"/>
      <c r="B27" s="2555"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0"/>
      <c r="Q27" s="2540" t="str">
        <f t="shared" ref="Q27" si="9">B27</f>
        <v>基础设施水平</v>
      </c>
      <c r="R27" s="1555" t="s">
        <v>8</v>
      </c>
      <c r="S27" s="1556">
        <f>F27</f>
        <v>100</v>
      </c>
      <c r="T27" s="1555" t="s">
        <v>8</v>
      </c>
      <c r="U27" s="1556">
        <f>H27</f>
        <v>100</v>
      </c>
      <c r="V27" s="1555" t="s">
        <v>8</v>
      </c>
      <c r="W27" s="1556">
        <f>J27</f>
        <v>100</v>
      </c>
      <c r="X27" s="1557"/>
      <c r="Y27" s="3380"/>
      <c r="Z27" s="2537" t="str">
        <f>Q27</f>
        <v>基础设施水平</v>
      </c>
      <c r="AA27" s="1563">
        <f>D27/F27</f>
        <v>1</v>
      </c>
      <c r="AB27" s="1563">
        <f>D27/H27</f>
        <v>1</v>
      </c>
      <c r="AC27" s="1563">
        <f>D27/J27</f>
        <v>1</v>
      </c>
    </row>
    <row r="28" spans="1:29" s="1216" customFormat="1" ht="15">
      <c r="A28" s="577"/>
      <c r="B28" s="595"/>
      <c r="C28" s="2554"/>
      <c r="D28" s="555"/>
      <c r="E28" s="579"/>
      <c r="F28" s="555"/>
      <c r="G28" s="579"/>
      <c r="H28" s="555"/>
      <c r="I28" s="579"/>
      <c r="J28" s="555"/>
      <c r="K28" s="531"/>
      <c r="L28" s="2121"/>
      <c r="M28" s="2122"/>
      <c r="N28" s="2122"/>
      <c r="O28" s="2123"/>
      <c r="P28" s="3380"/>
      <c r="Q28" s="2540"/>
      <c r="R28" s="1555"/>
      <c r="S28" s="1556"/>
      <c r="T28" s="1555"/>
      <c r="U28" s="1556"/>
      <c r="V28" s="1555"/>
      <c r="W28" s="1556"/>
      <c r="X28" s="1557"/>
      <c r="Y28" s="3380"/>
      <c r="Z28" s="2537"/>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0"/>
      <c r="Z29" s="1562" t="str">
        <f t="shared" ref="Z29:Z42" si="13">Q29</f>
        <v>临街状况</v>
      </c>
      <c r="AA29" s="1563">
        <f t="shared" si="3"/>
        <v>1</v>
      </c>
      <c r="AB29" s="1563">
        <f t="shared" si="4"/>
        <v>1</v>
      </c>
      <c r="AC29" s="1563">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0"/>
      <c r="Q30" s="1559" t="str">
        <f t="shared" si="8"/>
        <v>毗邻道路的类型与等级</v>
      </c>
      <c r="R30" s="1560" t="s">
        <v>8</v>
      </c>
      <c r="S30" s="1561">
        <f t="shared" si="10"/>
        <v>100</v>
      </c>
      <c r="T30" s="1560" t="s">
        <v>8</v>
      </c>
      <c r="U30" s="1561">
        <f t="shared" si="11"/>
        <v>100</v>
      </c>
      <c r="V30" s="1560" t="s">
        <v>8</v>
      </c>
      <c r="W30" s="1561">
        <f t="shared" si="12"/>
        <v>100</v>
      </c>
      <c r="X30" s="1554"/>
      <c r="Y30" s="338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0"/>
      <c r="Q31" s="1559"/>
      <c r="R31" s="1560"/>
      <c r="S31" s="1561"/>
      <c r="T31" s="1560"/>
      <c r="U31" s="1561"/>
      <c r="V31" s="1560"/>
      <c r="W31" s="1561"/>
      <c r="X31" s="1554"/>
      <c r="Y31" s="3380"/>
      <c r="Z31" s="1562"/>
      <c r="AA31" s="1563">
        <v>1</v>
      </c>
      <c r="AB31" s="1563">
        <v>1</v>
      </c>
      <c r="AC31" s="1563">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0"/>
      <c r="Q32" s="1559" t="str">
        <f t="shared" si="8"/>
        <v>土地级别</v>
      </c>
      <c r="R32" s="1560" t="s">
        <v>8</v>
      </c>
      <c r="S32" s="1561">
        <f t="shared" si="10"/>
        <v>100</v>
      </c>
      <c r="T32" s="1560" t="s">
        <v>8</v>
      </c>
      <c r="U32" s="1561">
        <f t="shared" si="11"/>
        <v>100</v>
      </c>
      <c r="V32" s="1560" t="s">
        <v>8</v>
      </c>
      <c r="W32" s="1561">
        <f t="shared" si="12"/>
        <v>100</v>
      </c>
      <c r="X32" s="1554"/>
      <c r="Y32" s="338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0"/>
      <c r="Q33" s="1559">
        <f t="shared" si="8"/>
        <v>111</v>
      </c>
      <c r="R33" s="1560" t="s">
        <v>8</v>
      </c>
      <c r="S33" s="1561">
        <f t="shared" si="10"/>
        <v>100</v>
      </c>
      <c r="T33" s="1560" t="s">
        <v>8</v>
      </c>
      <c r="U33" s="1561">
        <f t="shared" si="11"/>
        <v>100</v>
      </c>
      <c r="V33" s="1560" t="s">
        <v>8</v>
      </c>
      <c r="W33" s="1561">
        <f t="shared" si="12"/>
        <v>100</v>
      </c>
      <c r="X33" s="1554"/>
      <c r="Y33" s="338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1" t="s">
        <v>550</v>
      </c>
      <c r="Q34" s="1559">
        <f t="shared" si="8"/>
        <v>111</v>
      </c>
      <c r="R34" s="1560" t="s">
        <v>8</v>
      </c>
      <c r="S34" s="1561">
        <f t="shared" si="10"/>
        <v>100</v>
      </c>
      <c r="T34" s="1560" t="s">
        <v>8</v>
      </c>
      <c r="U34" s="1561">
        <f t="shared" si="11"/>
        <v>100</v>
      </c>
      <c r="V34" s="1560" t="s">
        <v>8</v>
      </c>
      <c r="W34" s="1561">
        <f t="shared" si="12"/>
        <v>100</v>
      </c>
      <c r="X34" s="1554"/>
      <c r="Y34" s="3382" t="s">
        <v>550</v>
      </c>
      <c r="Z34" s="1562">
        <f t="shared" si="13"/>
        <v>111</v>
      </c>
      <c r="AA34" s="1563">
        <f t="shared" si="3"/>
        <v>1</v>
      </c>
      <c r="AB34" s="1563">
        <f t="shared" si="4"/>
        <v>1</v>
      </c>
      <c r="AC34" s="1563">
        <f t="shared" si="5"/>
        <v>1</v>
      </c>
    </row>
    <row r="35" spans="1:29" s="1335"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2"/>
      <c r="Q35" s="1559">
        <f t="shared" si="8"/>
        <v>111</v>
      </c>
      <c r="R35" s="1564" t="s">
        <v>8</v>
      </c>
      <c r="S35" s="1565">
        <f t="shared" si="10"/>
        <v>100</v>
      </c>
      <c r="T35" s="1564" t="s">
        <v>8</v>
      </c>
      <c r="U35" s="1565">
        <f t="shared" si="11"/>
        <v>100</v>
      </c>
      <c r="V35" s="1564" t="s">
        <v>8</v>
      </c>
      <c r="W35" s="1565">
        <f t="shared" si="12"/>
        <v>100</v>
      </c>
      <c r="X35" s="1566"/>
      <c r="Y35" s="3382"/>
      <c r="Z35" s="1567">
        <f t="shared" si="13"/>
        <v>111</v>
      </c>
      <c r="AA35" s="1563">
        <f t="shared" si="3"/>
        <v>1</v>
      </c>
      <c r="AB35" s="1563">
        <f t="shared" si="4"/>
        <v>1</v>
      </c>
      <c r="AC35" s="1563">
        <f t="shared" si="5"/>
        <v>1</v>
      </c>
    </row>
    <row r="36" spans="1:29" ht="15">
      <c r="A36" s="2860"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2"/>
      <c r="Q36" s="1559" t="str">
        <f>B36</f>
        <v>宗地面积</v>
      </c>
      <c r="R36" s="1560" t="s">
        <v>8</v>
      </c>
      <c r="S36" s="1561" t="e">
        <f t="shared" si="10"/>
        <v>#N/A</v>
      </c>
      <c r="T36" s="1560" t="s">
        <v>8</v>
      </c>
      <c r="U36" s="1561" t="e">
        <f t="shared" si="11"/>
        <v>#N/A</v>
      </c>
      <c r="V36" s="1560" t="s">
        <v>8</v>
      </c>
      <c r="W36" s="1561" t="e">
        <f t="shared" si="12"/>
        <v>#N/A</v>
      </c>
      <c r="X36" s="1554"/>
      <c r="Y36" s="338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2"/>
      <c r="Q37" s="1559" t="str">
        <f t="shared" ref="Q37:Q42" si="14">B37</f>
        <v>宗地形状</v>
      </c>
      <c r="R37" s="1560" t="s">
        <v>8</v>
      </c>
      <c r="S37" s="1561">
        <f t="shared" si="10"/>
        <v>100</v>
      </c>
      <c r="T37" s="1560" t="s">
        <v>8</v>
      </c>
      <c r="U37" s="1561">
        <f t="shared" si="11"/>
        <v>100</v>
      </c>
      <c r="V37" s="1560" t="s">
        <v>8</v>
      </c>
      <c r="W37" s="1561">
        <f t="shared" si="12"/>
        <v>100</v>
      </c>
      <c r="X37" s="1554"/>
      <c r="Y37" s="3382"/>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2"/>
      <c r="Q38" s="1559" t="str">
        <f t="shared" si="14"/>
        <v>宗地开发程度</v>
      </c>
      <c r="R38" s="1555" t="s">
        <v>8</v>
      </c>
      <c r="S38" s="1556">
        <f t="shared" si="10"/>
        <v>100</v>
      </c>
      <c r="T38" s="1555" t="s">
        <v>8</v>
      </c>
      <c r="U38" s="1556">
        <f t="shared" si="11"/>
        <v>100</v>
      </c>
      <c r="V38" s="1555" t="s">
        <v>8</v>
      </c>
      <c r="W38" s="1556">
        <f t="shared" si="12"/>
        <v>100</v>
      </c>
      <c r="X38" s="1557"/>
      <c r="Y38" s="338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2" t="s">
        <v>601</v>
      </c>
      <c r="Q39" s="1559" t="str">
        <f t="shared" si="14"/>
        <v>工程地质条件</v>
      </c>
      <c r="R39" s="1560" t="s">
        <v>8</v>
      </c>
      <c r="S39" s="1561">
        <f t="shared" si="10"/>
        <v>100</v>
      </c>
      <c r="T39" s="1560" t="s">
        <v>8</v>
      </c>
      <c r="U39" s="1561">
        <f t="shared" si="11"/>
        <v>100</v>
      </c>
      <c r="V39" s="1560" t="s">
        <v>8</v>
      </c>
      <c r="W39" s="1561">
        <f t="shared" si="12"/>
        <v>100</v>
      </c>
      <c r="X39" s="1554"/>
      <c r="Y39" s="338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2"/>
      <c r="Q40" s="1559">
        <f t="shared" si="14"/>
        <v>111</v>
      </c>
      <c r="R40" s="1560" t="s">
        <v>8</v>
      </c>
      <c r="S40" s="1561">
        <f t="shared" si="10"/>
        <v>100</v>
      </c>
      <c r="T40" s="1560" t="s">
        <v>8</v>
      </c>
      <c r="U40" s="1561">
        <f t="shared" si="11"/>
        <v>100</v>
      </c>
      <c r="V40" s="1560" t="s">
        <v>8</v>
      </c>
      <c r="W40" s="1561">
        <f t="shared" si="12"/>
        <v>100</v>
      </c>
      <c r="X40" s="1554"/>
      <c r="Y40" s="338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2"/>
      <c r="Q41" s="1559">
        <f t="shared" si="14"/>
        <v>111</v>
      </c>
      <c r="R41" s="1560" t="s">
        <v>8</v>
      </c>
      <c r="S41" s="1561">
        <f t="shared" si="10"/>
        <v>100</v>
      </c>
      <c r="T41" s="1560" t="s">
        <v>8</v>
      </c>
      <c r="U41" s="1561">
        <f t="shared" si="11"/>
        <v>100</v>
      </c>
      <c r="V41" s="1560" t="s">
        <v>8</v>
      </c>
      <c r="W41" s="1561">
        <f t="shared" si="12"/>
        <v>100</v>
      </c>
      <c r="X41" s="1554"/>
      <c r="Y41" s="338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2"/>
      <c r="Q42" s="1559">
        <f t="shared" si="14"/>
        <v>111</v>
      </c>
      <c r="R42" s="1564" t="s">
        <v>8</v>
      </c>
      <c r="S42" s="1565">
        <f t="shared" si="10"/>
        <v>100</v>
      </c>
      <c r="T42" s="1564" t="s">
        <v>8</v>
      </c>
      <c r="U42" s="1565">
        <f t="shared" si="11"/>
        <v>100</v>
      </c>
      <c r="V42" s="1564" t="s">
        <v>8</v>
      </c>
      <c r="W42" s="1565">
        <f t="shared" si="12"/>
        <v>100</v>
      </c>
      <c r="X42" s="1566"/>
      <c r="Y42" s="3382"/>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77" t="str">
        <f>A43</f>
        <v>成交单价</v>
      </c>
      <c r="Q43" s="3377"/>
      <c r="R43" s="3391">
        <f>E43</f>
        <v>0</v>
      </c>
      <c r="S43" s="3391"/>
      <c r="T43" s="3391">
        <f>G43</f>
        <v>0</v>
      </c>
      <c r="U43" s="3391"/>
      <c r="V43" s="3391">
        <f>I43</f>
        <v>0</v>
      </c>
      <c r="W43" s="339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7" t="str">
        <f>A44</f>
        <v>比较价格（元/平方米）</v>
      </c>
      <c r="Q44" s="3377"/>
      <c r="R44" s="3401" t="e">
        <f>ROUND(PRODUCT(R43,AA9:AA42),0)</f>
        <v>#DIV/0!</v>
      </c>
      <c r="S44" s="3401"/>
      <c r="T44" s="3401" t="e">
        <f>ROUND(PRODUCT(T43,AB9:AB42),0)</f>
        <v>#DIV/0!</v>
      </c>
      <c r="U44" s="3401"/>
      <c r="V44" s="3401" t="e">
        <f>ROUND(PRODUCT(V43,AC9:AC42),0)</f>
        <v>#DIV/0!</v>
      </c>
      <c r="W44" s="3401"/>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98" t="str">
        <f>A45</f>
        <v>估价对象XX用房的比较价格（楼面单价，元/平方米）</v>
      </c>
      <c r="Q45" s="3399"/>
      <c r="R45" s="3400" t="e">
        <f>ROUND(AVERAGE(R44:V44),0)</f>
        <v>#DIV/0!</v>
      </c>
      <c r="S45" s="3400"/>
      <c r="T45" s="3400"/>
      <c r="U45" s="3400"/>
      <c r="V45" s="3400"/>
      <c r="W45" s="340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8" t="s">
        <v>2284</v>
      </c>
      <c r="H52" s="3409"/>
      <c r="I52" s="1938" t="s">
        <v>1945</v>
      </c>
      <c r="J52" s="1542" t="str">
        <f>项目基本情况!F41</f>
        <v>四川省成都市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86738.98</v>
      </c>
      <c r="F53" s="1936" t="e">
        <f t="shared" ref="F53:F62" si="15">ROUND(B53*E53/10000,0)</f>
        <v>#DIV/0!</v>
      </c>
      <c r="G53" s="3410"/>
      <c r="H53" s="341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43369.49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3" t="str">
        <f>YEAR(C9)&amp;"-"&amp;MONTH(C9)&amp;"-1"</f>
        <v>2019-5-1</v>
      </c>
      <c r="D65" s="2752">
        <f>EDATE(C65,-3)</f>
        <v>43497</v>
      </c>
      <c r="E65" s="2752">
        <f t="shared" ref="E65:N65" si="18">EDATE(D65,-3)</f>
        <v>43405</v>
      </c>
      <c r="F65" s="2752">
        <f t="shared" si="18"/>
        <v>43313</v>
      </c>
      <c r="G65" s="2752">
        <f t="shared" si="18"/>
        <v>43221</v>
      </c>
      <c r="H65" s="2752">
        <f t="shared" si="18"/>
        <v>43132</v>
      </c>
      <c r="I65" s="2752">
        <f t="shared" si="18"/>
        <v>43040</v>
      </c>
      <c r="J65" s="2752">
        <f t="shared" si="18"/>
        <v>42948</v>
      </c>
      <c r="K65" s="2752">
        <f t="shared" si="18"/>
        <v>42856</v>
      </c>
      <c r="L65" s="2752">
        <f t="shared" si="18"/>
        <v>42767</v>
      </c>
      <c r="M65" s="2752">
        <f t="shared" si="18"/>
        <v>42675</v>
      </c>
      <c r="N65" s="2752">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0" t="s">
        <v>2533</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1" t="s">
        <v>2649</v>
      </c>
      <c r="B68" s="479" t="str">
        <f>"北京市平均增长率"&amp;TEXT(基准地价!P24,"0.00%")</f>
        <v>北京市平均增长率1.40%</v>
      </c>
      <c r="C68" s="894">
        <v>100</v>
      </c>
      <c r="D68" s="730"/>
      <c r="E68" s="730"/>
      <c r="F68" s="730"/>
      <c r="G68" s="730"/>
      <c r="H68" s="730"/>
      <c r="I68" s="730"/>
      <c r="J68" s="730"/>
      <c r="K68" s="730"/>
      <c r="L68" s="730"/>
      <c r="M68" s="2746"/>
      <c r="N68" s="2747"/>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4"/>
      <c r="D69" s="2745"/>
      <c r="E69" s="2745"/>
      <c r="F69" s="2745"/>
      <c r="G69" s="2745"/>
      <c r="H69" s="2745"/>
      <c r="I69" s="2745"/>
      <c r="J69" s="2745"/>
      <c r="K69" s="2745"/>
      <c r="L69" s="2745"/>
      <c r="M69" s="2745"/>
      <c r="N69" s="2745"/>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59" t="s">
        <v>2550</v>
      </c>
      <c r="C95" s="2560" t="s">
        <v>2551</v>
      </c>
      <c r="D95" s="2560" t="s">
        <v>2552</v>
      </c>
      <c r="E95" s="2560" t="s">
        <v>2553</v>
      </c>
      <c r="F95" s="2560" t="s">
        <v>2554</v>
      </c>
      <c r="G95" s="2560"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2"/>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E32" sqref="E32:G32"/>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4"/>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89" t="s">
        <v>2762</v>
      </c>
      <c r="S1" s="2889" t="s">
        <v>2763</v>
      </c>
      <c r="T1" s="2889" t="s">
        <v>2784</v>
      </c>
      <c r="U1" s="2889" t="s">
        <v>2785</v>
      </c>
      <c r="V1" s="2889"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5"/>
      <c r="X3" s="2175"/>
      <c r="Y3" s="2175"/>
      <c r="Z3" s="2175"/>
      <c r="AA3" s="2175"/>
      <c r="AB3" s="2175"/>
      <c r="AC3" s="2176"/>
    </row>
    <row r="4" spans="1:39" ht="28.5">
      <c r="A4" s="1877" t="s">
        <v>2280</v>
      </c>
      <c r="B4" s="2415" t="e">
        <f>ROUND(B2*10000/F1,0)</f>
        <v>#DIV/0!</v>
      </c>
      <c r="C4" s="1880" t="s">
        <v>2254</v>
      </c>
      <c r="D4" s="1880" t="e">
        <f>ROUND(B2/(F1/666.67),0)</f>
        <v>#DIV/0!</v>
      </c>
      <c r="E4" s="1880" t="s">
        <v>2255</v>
      </c>
      <c r="F4" s="1878"/>
      <c r="G4" s="1878"/>
      <c r="H4" s="1878"/>
      <c r="I4" s="1878"/>
      <c r="J4" s="1879"/>
      <c r="K4" s="3151"/>
      <c r="L4" s="1871" t="s">
        <v>2241</v>
      </c>
      <c r="M4" s="1872">
        <f>SUMPRODUCT((区片价!B49:B75=I2)*(区片价!C3:F3=E2)*(区片价!C49:F75))</f>
        <v>0</v>
      </c>
      <c r="N4" s="1873">
        <f>SUMPRODUCT((因素修正幅度!B49:B75=I2)*(因素修正幅度!C3:F3=E2)*(因素修正幅度!C49:F75))</f>
        <v>0</v>
      </c>
      <c r="O4" s="3151"/>
      <c r="P4" s="1398"/>
      <c r="Q4" s="2175"/>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0" t="e">
        <f>ROUND(C6+C16,0)</f>
        <v>#DIV/0!</v>
      </c>
      <c r="E5" s="3070"/>
      <c r="F5" s="1413"/>
      <c r="G5" s="1414"/>
      <c r="H5" s="1414"/>
      <c r="I5" s="1414"/>
      <c r="J5" s="1415"/>
      <c r="K5" s="3152"/>
      <c r="L5" s="1871" t="s">
        <v>2242</v>
      </c>
      <c r="M5" s="1872">
        <f>SUMPRODUCT((区片价!B76:B109=I2)*(区片价!C3:F3=E2)*(区片价!C76:F109))</f>
        <v>0</v>
      </c>
      <c r="N5" s="1873">
        <f>SUMPRODUCT((因素修正幅度!B76:B109=I2)*(因素修正幅度!C3:F3=E2)*(因素修正幅度!C76:F109))</f>
        <v>0</v>
      </c>
      <c r="O5" s="3152"/>
      <c r="P5" s="1581"/>
      <c r="Q5" s="2175"/>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5"/>
      <c r="X6" s="2175"/>
      <c r="Y6" s="2175"/>
      <c r="Z6" s="2175"/>
      <c r="AA6" s="2175"/>
      <c r="AB6" s="2175"/>
      <c r="AC6" s="2177"/>
      <c r="AD6" s="1416"/>
      <c r="AE6" s="1416"/>
      <c r="AF6" s="1416"/>
      <c r="AG6" s="1416"/>
      <c r="AH6" s="1416"/>
      <c r="AI6" s="1416"/>
      <c r="AJ6" s="1417"/>
    </row>
    <row r="7" spans="1:39" ht="24">
      <c r="A7" s="342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2765</v>
      </c>
      <c r="X7" s="2880">
        <f>G2</f>
        <v>0</v>
      </c>
      <c r="Y7" s="2880" t="s">
        <v>2766</v>
      </c>
      <c r="Z7" s="2881">
        <f>G3</f>
        <v>0</v>
      </c>
      <c r="AA7" s="2178"/>
      <c r="AB7" s="2178"/>
      <c r="AC7" s="2179"/>
      <c r="AD7" s="2882"/>
      <c r="AE7" s="2882"/>
      <c r="AF7" s="2882"/>
      <c r="AG7" s="2882"/>
      <c r="AH7" s="2882"/>
      <c r="AI7" s="2882"/>
      <c r="AJ7" s="2883"/>
    </row>
    <row r="8" spans="1:39" ht="15">
      <c r="A8" s="342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0">
        <v>7</v>
      </c>
      <c r="S8" s="2879"/>
      <c r="T8" s="2890" t="e">
        <f t="shared" si="0"/>
        <v>#DIV/0!</v>
      </c>
      <c r="U8" s="2879"/>
      <c r="V8" s="2890" t="e">
        <f t="shared" si="1"/>
        <v>#DIV/0!</v>
      </c>
      <c r="W8" s="3431" t="s">
        <v>2783</v>
      </c>
      <c r="X8" s="343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0">
        <v>8</v>
      </c>
      <c r="S9" s="2879"/>
      <c r="T9" s="2890" t="e">
        <f t="shared" si="0"/>
        <v>#DIV/0!</v>
      </c>
      <c r="U9" s="2879"/>
      <c r="V9" s="2890" t="e">
        <f t="shared" si="1"/>
        <v>#DIV/0!</v>
      </c>
      <c r="W9" s="3430" t="s">
        <v>2779</v>
      </c>
      <c r="X9" s="2884" t="s">
        <v>2780</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0">
        <v>9</v>
      </c>
      <c r="S10" s="2879"/>
      <c r="T10" s="2890" t="e">
        <f t="shared" si="0"/>
        <v>#DIV/0!</v>
      </c>
      <c r="U10" s="2879"/>
      <c r="V10" s="2890" t="e">
        <f t="shared" si="1"/>
        <v>#DIV/0!</v>
      </c>
      <c r="W10" s="343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0">
        <v>10</v>
      </c>
      <c r="S11" s="2879"/>
      <c r="T11" s="2890" t="e">
        <f t="shared" si="0"/>
        <v>#DIV/0!</v>
      </c>
      <c r="U11" s="2879"/>
      <c r="V11" s="2890" t="e">
        <f t="shared" si="1"/>
        <v>#DIV/0!</v>
      </c>
      <c r="W11" s="343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0">
        <v>11</v>
      </c>
      <c r="S12" s="2879"/>
      <c r="T12" s="2890" t="e">
        <f t="shared" si="0"/>
        <v>#DIV/0!</v>
      </c>
      <c r="U12" s="2879"/>
      <c r="V12" s="2890" t="e">
        <f t="shared" si="1"/>
        <v>#DIV/0!</v>
      </c>
      <c r="W12" s="3430"/>
      <c r="X12" s="2887" t="s">
        <v>2782</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2"/>
      <c r="B13" s="1441" t="s">
        <v>1696</v>
      </c>
      <c r="C13" s="1442" t="s">
        <v>1697</v>
      </c>
      <c r="D13" s="1085" t="s">
        <v>1698</v>
      </c>
      <c r="E13" s="1085" t="s">
        <v>1699</v>
      </c>
      <c r="F13" s="1443" t="s">
        <v>948</v>
      </c>
      <c r="G13" s="1444" t="s">
        <v>1642</v>
      </c>
      <c r="H13" s="1445" t="s">
        <v>1642</v>
      </c>
      <c r="I13" s="1446" t="s">
        <v>1642</v>
      </c>
      <c r="J13" s="1447" t="s">
        <v>1642</v>
      </c>
      <c r="K13" s="3167"/>
      <c r="L13" s="3167"/>
      <c r="M13" s="3167"/>
      <c r="N13" s="3167"/>
      <c r="O13" s="3167"/>
      <c r="P13" s="1398"/>
      <c r="Q13" s="2175"/>
      <c r="R13" s="2890">
        <v>12</v>
      </c>
      <c r="S13" s="2879"/>
      <c r="T13" s="2890" t="e">
        <f t="shared" si="0"/>
        <v>#DIV/0!</v>
      </c>
      <c r="U13" s="2879"/>
      <c r="V13" s="2890" t="e">
        <f t="shared" si="1"/>
        <v>#DIV/0!</v>
      </c>
      <c r="W13" s="3430"/>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2"/>
      <c r="B14" s="1448"/>
      <c r="C14" s="1449"/>
      <c r="D14" s="1450"/>
      <c r="E14" s="1450"/>
      <c r="F14" s="1451"/>
      <c r="G14" s="1452" t="s">
        <v>949</v>
      </c>
      <c r="H14" s="1453"/>
      <c r="I14" s="1454"/>
      <c r="J14" s="1455"/>
      <c r="K14" s="3153"/>
      <c r="L14" s="3153"/>
      <c r="M14" s="3153"/>
      <c r="N14" s="3153"/>
      <c r="O14" s="3153"/>
      <c r="P14" s="1398"/>
      <c r="Q14" s="2175"/>
      <c r="R14" s="2890">
        <v>13</v>
      </c>
      <c r="S14" s="2879"/>
      <c r="T14" s="2890" t="e">
        <f t="shared" si="0"/>
        <v>#DIV/0!</v>
      </c>
      <c r="U14" s="2879"/>
      <c r="V14" s="2890" t="e">
        <f t="shared" si="1"/>
        <v>#DIV/0!</v>
      </c>
      <c r="W14" s="2175"/>
      <c r="X14" s="2175"/>
      <c r="Y14" s="2175"/>
      <c r="Z14" s="2175"/>
      <c r="AA14" s="2175"/>
      <c r="AB14" s="2175"/>
      <c r="AC14" s="2176"/>
    </row>
    <row r="15" spans="1:39" ht="13.5" customHeight="1" thickBot="1">
      <c r="A15" s="3423"/>
      <c r="B15" s="3172" t="s">
        <v>1700</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8"/>
      <c r="Q15" s="2175"/>
      <c r="R15" s="2890">
        <v>14</v>
      </c>
      <c r="S15" s="2879"/>
      <c r="T15" s="2890" t="e">
        <f t="shared" si="0"/>
        <v>#DIV/0!</v>
      </c>
      <c r="U15" s="2879"/>
      <c r="V15" s="2890" t="e">
        <f t="shared" si="1"/>
        <v>#DIV/0!</v>
      </c>
      <c r="W15" s="2175"/>
      <c r="X15" s="2175"/>
      <c r="Y15" s="2175"/>
      <c r="Z15" s="2175"/>
      <c r="AA15" s="2175"/>
      <c r="AB15" s="2175"/>
      <c r="AC15" s="2176"/>
    </row>
    <row r="16" spans="1:39" ht="24.6" customHeight="1">
      <c r="A16" s="3420" t="s">
        <v>1838</v>
      </c>
      <c r="B16" s="1424" t="s">
        <v>950</v>
      </c>
      <c r="C16" s="1052" t="e">
        <f>ROUND(IF(F17="与级别开发程度一致",0,(G17-E17)/C17),0)</f>
        <v>#DIV/0!</v>
      </c>
      <c r="D16" s="3438" t="s">
        <v>954</v>
      </c>
      <c r="E16" s="3439"/>
      <c r="F16" s="3438" t="s">
        <v>951</v>
      </c>
      <c r="G16" s="3439"/>
      <c r="H16" s="1456"/>
      <c r="I16" s="1456"/>
      <c r="J16" s="1456"/>
      <c r="K16" s="1456"/>
      <c r="L16" s="1456"/>
      <c r="M16" s="1456"/>
      <c r="N16" s="1456"/>
      <c r="O16" s="3177"/>
      <c r="P16" s="1398"/>
      <c r="Q16" s="2178"/>
      <c r="R16" s="2890">
        <v>15</v>
      </c>
      <c r="S16" s="2879"/>
      <c r="T16" s="2890" t="e">
        <f t="shared" si="0"/>
        <v>#DIV/0!</v>
      </c>
      <c r="U16" s="2879"/>
      <c r="V16" s="2890" t="e">
        <f t="shared" si="1"/>
        <v>#DIV/0!</v>
      </c>
      <c r="W16" s="2178"/>
      <c r="X16" s="2178"/>
      <c r="Y16" s="2178"/>
      <c r="Z16" s="2178"/>
      <c r="AA16" s="2178"/>
      <c r="AB16" s="2178"/>
      <c r="AC16" s="2179"/>
    </row>
    <row r="17" spans="1:40" ht="13.5" thickBot="1">
      <c r="A17" s="3424"/>
      <c r="B17" s="3178" t="s">
        <v>953</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2" t="s">
        <v>1829</v>
      </c>
      <c r="B18" s="3173" t="s">
        <v>955</v>
      </c>
      <c r="C18" s="3174">
        <f>SUMIF(修正!C18:C39,E3,修正!E18:E39)</f>
        <v>0</v>
      </c>
      <c r="D18" s="3175"/>
      <c r="E18" s="3176"/>
      <c r="F18" s="3158"/>
      <c r="G18" s="3152"/>
      <c r="H18" s="3152"/>
      <c r="I18" s="3152"/>
      <c r="J18" s="3166"/>
      <c r="K18" s="3152"/>
      <c r="L18" s="3152"/>
      <c r="M18" s="3152"/>
      <c r="N18" s="3152"/>
      <c r="O18" s="3152"/>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43599</v>
      </c>
      <c r="H19" s="1464"/>
      <c r="I19" s="2738" t="str">
        <f>IF(H19="季度增幅（自定义）",SUMIF(N21:N24,E2,O21:O24),"")</f>
        <v/>
      </c>
      <c r="J19" s="1460"/>
      <c r="K19" s="3152"/>
      <c r="L19" s="2990" t="s">
        <v>2841</v>
      </c>
      <c r="M19" s="2991">
        <f>ROUND(SUMIF(地价!B2:F2,E2,地价!B26:F26),0)</f>
        <v>0</v>
      </c>
      <c r="N19" s="2740" t="s">
        <v>1676</v>
      </c>
      <c r="O19" s="2739">
        <f>ROUNDDOWN(DATEDIF(E19,G19,"M")/3,0)</f>
        <v>21</v>
      </c>
      <c r="P19" s="1583"/>
      <c r="Q19" s="2878"/>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2" t="s">
        <v>1836</v>
      </c>
      <c r="B20" s="2733" t="s">
        <v>971</v>
      </c>
      <c r="C20" s="2734" t="e">
        <f>ROUND(POWER(1+G20,J20-I20)*(POWER(1+G20,I20)-1)/(POWER(1+G20,J20)-1),4)</f>
        <v>#DIV/0!</v>
      </c>
      <c r="D20" s="2735" t="s">
        <v>972</v>
      </c>
      <c r="E20" s="3045">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54"/>
      <c r="L20" s="2992" t="s">
        <v>2842</v>
      </c>
      <c r="M20" s="3161">
        <f>ROUND(SUMPRODUCT((地价!A4:A26=YEAR(G19)&amp;"-"&amp;ROUNDUP(MONTH(G19)/3,0))*(地价!B2:F2=E2)*(地价!B4:F26)),0)</f>
        <v>0</v>
      </c>
      <c r="N20" s="2743" t="s">
        <v>2645</v>
      </c>
      <c r="O20" s="2741" t="s">
        <v>2644</v>
      </c>
      <c r="P20" s="2742" t="s">
        <v>2650</v>
      </c>
      <c r="Q20" s="2878"/>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2"/>
      <c r="L21" s="1470"/>
      <c r="M21" s="1470"/>
      <c r="N21" s="1467" t="s">
        <v>975</v>
      </c>
      <c r="O21" s="1530"/>
      <c r="P21" s="2730">
        <f>SUMPRODUCT((地价!A3:A26=YEAR(G19)&amp;"-"&amp;ROUNDUP(MONTH(G19)/3,0))*(地价!AD2:AH2=N21)*(地价!AD3:AH26))</f>
        <v>1.46E-2</v>
      </c>
      <c r="Q21" s="2878"/>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5"/>
      <c r="L22" s="1470"/>
      <c r="M22" s="1470"/>
      <c r="N22" s="1467" t="s">
        <v>978</v>
      </c>
      <c r="O22" s="1530"/>
      <c r="P22" s="2730">
        <f>SUMPRODUCT((地价!A3:A26=YEAR(G19)&amp;"-"&amp;ROUNDUP(MONTH(G19)/3,0))*(地价!AD2:AH2=N22)*(地价!AD3:AH26))</f>
        <v>1.46E-2</v>
      </c>
      <c r="Q22" s="2878"/>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6"/>
      <c r="L23" s="1398"/>
      <c r="M23" s="1398"/>
      <c r="N23" s="1467" t="s">
        <v>923</v>
      </c>
      <c r="O23" s="1530"/>
      <c r="P23" s="2730">
        <f>SUMPRODUCT((地价!A3:A26=YEAR(G19)&amp;"-"&amp;ROUNDUP(MONTH(G19)/3,0))*(地价!AD2:AH2=N23)*(地价!AD3:AH26))</f>
        <v>2.2599999999999999E-2</v>
      </c>
      <c r="Q23" s="2878"/>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6"/>
      <c r="L24" s="1470"/>
      <c r="M24" s="1470"/>
      <c r="N24" s="1467" t="s">
        <v>981</v>
      </c>
      <c r="O24" s="3160"/>
      <c r="P24" s="2730">
        <f>SUMPRODUCT((地价!A3:A26=YEAR(G19)&amp;"-"&amp;ROUNDUP(MONTH(G19)/3,0))*(地价!AD2:AH2=N24)*(地价!AD3:AH26))</f>
        <v>1.4E-2</v>
      </c>
      <c r="Q24" s="2878"/>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2" t="s">
        <v>2648</v>
      </c>
      <c r="O25" s="3163"/>
      <c r="P25" s="2409">
        <f>SUMPRODUCT((地价!A3:A26=YEAR(G19)&amp;"-"&amp;ROUNDUP(MONTH(G19)/3,0))*(地价!AD2:AH2=N25)*(地价!AD3:AH26))</f>
        <v>2.06E-2</v>
      </c>
      <c r="Q25" s="2878"/>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8"/>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78"/>
      <c r="S27" s="2878"/>
      <c r="T27" s="2878"/>
      <c r="U27" s="2878"/>
      <c r="V27" s="2878"/>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78"/>
      <c r="S28" s="2878"/>
      <c r="T28" s="2878"/>
      <c r="U28" s="2878"/>
      <c r="V28" s="2878"/>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7"/>
      <c r="L29" s="3157"/>
      <c r="M29" s="3157"/>
      <c r="N29" s="3157"/>
      <c r="O29" s="3157"/>
      <c r="P29" s="1398"/>
      <c r="Q29" s="2181"/>
      <c r="R29" s="2181"/>
      <c r="S29" s="2181"/>
      <c r="T29" s="2181"/>
      <c r="U29" s="2181"/>
      <c r="V29" s="2181"/>
      <c r="W29" s="2878"/>
      <c r="X29" s="2878"/>
      <c r="Y29" s="2878"/>
      <c r="Z29" s="2878"/>
      <c r="AA29" s="2878"/>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8"/>
      <c r="L32" s="3158"/>
      <c r="M32" s="3158"/>
      <c r="N32" s="3158"/>
      <c r="O32" s="3158"/>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7" t="s">
        <v>2960</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9"/>
      <c r="L33" s="3159"/>
      <c r="M33" s="3159"/>
      <c r="N33" s="3159"/>
      <c r="O33" s="3159"/>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9"/>
      <c r="L34" s="3159"/>
      <c r="M34" s="3159"/>
      <c r="N34" s="3159"/>
      <c r="O34" s="3159"/>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9"/>
      <c r="L35" s="3159"/>
      <c r="M35" s="3159"/>
      <c r="N35" s="3159"/>
      <c r="O35" s="3159"/>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9"/>
      <c r="L36" s="3159"/>
      <c r="M36" s="3159"/>
      <c r="N36" s="3159"/>
      <c r="O36" s="3159"/>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2987</v>
      </c>
      <c r="C41" s="839" t="e">
        <f>ROUND(POWER(1+E41,H41-G41)*(POWER(1+E41,G41)-1)/(POWER(1+E41,H41)-1),4)</f>
        <v>#DIV/0!</v>
      </c>
      <c r="D41" s="378" t="s">
        <v>2985</v>
      </c>
      <c r="E41" s="3147">
        <f>G20</f>
        <v>0</v>
      </c>
      <c r="F41" s="378" t="s">
        <v>2986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1" t="s">
        <v>1006</v>
      </c>
      <c r="B44" s="2382"/>
      <c r="C44" s="2383"/>
      <c r="D44" s="2384"/>
      <c r="E44" s="2384"/>
      <c r="F44" s="2385"/>
      <c r="G44" s="1062"/>
      <c r="H44" s="2385"/>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6" t="s">
        <v>1007</v>
      </c>
      <c r="B45" s="2387">
        <f>1+E47</f>
        <v>1</v>
      </c>
      <c r="C45" s="2388"/>
      <c r="D45" s="2389"/>
      <c r="E45" s="2390"/>
      <c r="F45" s="2391"/>
      <c r="G45" s="2385"/>
      <c r="H45" s="2385"/>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3" t="str">
        <f>估价对象房地状况!C16</f>
        <v>估价对象位于XX商圈，周边商业氛围成熟，人流量大，商业繁华度好</v>
      </c>
      <c r="C47" s="105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0" t="str">
        <f>估价对象房地状况!C18</f>
        <v>估价对象周边道路状况、公共交通通达情况、停车便捷程度，综合评价交通便捷度较好</v>
      </c>
      <c r="C48" s="105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0">
        <f>估价对象房地状况!C19</f>
        <v>0</v>
      </c>
      <c r="C49" s="105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7" t="s">
        <v>2936</v>
      </c>
      <c r="C50" s="105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0">
        <f>估价对象房地状况!C24</f>
        <v>0</v>
      </c>
      <c r="C51" s="105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6" t="s">
        <v>2935</v>
      </c>
      <c r="C52" s="105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2" t="s">
        <v>1026</v>
      </c>
      <c r="B53" s="2371" t="str">
        <f>估价对象房地状况!C21</f>
        <v>估价对象所在区域公共配套设施齐备情况</v>
      </c>
      <c r="C53" s="105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2" t="s">
        <v>1027</v>
      </c>
      <c r="B54" s="2370" t="str">
        <f>估价对象房地状况!C22</f>
        <v>估价对象所在区域基础设施水平</v>
      </c>
      <c r="C54" s="105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3" t="s">
        <v>1028</v>
      </c>
      <c r="B55" s="2374" t="str">
        <f>估价对象房地状况!C20</f>
        <v>区域自然环境：；人文环境；综合评价环境状况一般</v>
      </c>
      <c r="C55" s="105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6" t="s">
        <v>1029</v>
      </c>
      <c r="B56" s="2387">
        <f>1+E58</f>
        <v>1</v>
      </c>
      <c r="C56" s="2406"/>
      <c r="D56" s="2389"/>
      <c r="E56" s="2390"/>
      <c r="F56" s="2391"/>
      <c r="G56" s="2385"/>
      <c r="H56" s="2385"/>
      <c r="I56" s="2385"/>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3" t="str">
        <f>估价对象房地状况!C17</f>
        <v>估价对象位于XX商圈，周边办公楼项目较多，入驻率高，办公集聚程度较好</v>
      </c>
      <c r="C58" s="105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0" t="str">
        <f>估价对象房地状况!C18</f>
        <v>估价对象周边道路状况、公共交通通达情况、停车便捷程度，综合评价交通便捷度较好</v>
      </c>
      <c r="C59" s="105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0">
        <f>估价对象房地状况!C19</f>
        <v>0</v>
      </c>
      <c r="C60" s="105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7" t="s">
        <v>2937</v>
      </c>
      <c r="C61" s="105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0">
        <f>估价对象房地状况!C24</f>
        <v>0</v>
      </c>
      <c r="C62" s="105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6" t="s">
        <v>2935</v>
      </c>
      <c r="C63" s="105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1" t="str">
        <f>估价对象房地状况!C21</f>
        <v>估价对象所在区域公共配套设施齐备情况</v>
      </c>
      <c r="C64" s="105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1" t="str">
        <f>估价对象房地状况!C22</f>
        <v>估价对象所在区域基础设施水平</v>
      </c>
      <c r="C65" s="105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3" t="s">
        <v>1028</v>
      </c>
      <c r="B66" s="2375" t="str">
        <f>估价对象房地状况!C20</f>
        <v>区域自然环境：；人文环境；综合评价环境状况一般</v>
      </c>
      <c r="C66" s="105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6" t="s">
        <v>1031</v>
      </c>
      <c r="B67" s="2387">
        <f>1+E69</f>
        <v>1</v>
      </c>
      <c r="C67" s="2406"/>
      <c r="D67" s="2389"/>
      <c r="E67" s="2390"/>
      <c r="F67" s="2391"/>
      <c r="G67" s="2385"/>
      <c r="H67" s="2385"/>
      <c r="I67" s="2385"/>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3" t="str">
        <f>估价对象房地状况!C15</f>
        <v>估价对象周边居住用地比例、居住小区规模和社区发展完善程度，综合评价居住社区成熟度一般</v>
      </c>
      <c r="C69" s="1155"/>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0" t="str">
        <f>估价对象房地状况!C18</f>
        <v>估价对象周边道路状况、公共交通通达情况、停车便捷程度，综合评价交通便捷度较好</v>
      </c>
      <c r="C70" s="1155"/>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0">
        <f>估价对象房地状况!C19</f>
        <v>0</v>
      </c>
      <c r="C71" s="1155"/>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0">
        <f>估价对象房地状况!C24</f>
        <v>0</v>
      </c>
      <c r="C72" s="1155"/>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1" t="str">
        <f>估价对象房地状况!C21</f>
        <v>估价对象所在区域公共配套设施齐备情况</v>
      </c>
      <c r="C73" s="1155"/>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1" t="str">
        <f>估价对象房地状况!C22</f>
        <v>估价对象所在区域基础设施水平</v>
      </c>
      <c r="C74" s="1155"/>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6" t="s">
        <v>2935</v>
      </c>
      <c r="C75" s="1155"/>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3" t="str">
        <f>估价对象房地状况!C20</f>
        <v>区域自然环境：；人文环境；综合评价环境状况一般</v>
      </c>
      <c r="C76" s="1155"/>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3" t="s">
        <v>1035</v>
      </c>
      <c r="B77" s="1836"/>
      <c r="C77" s="1155"/>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2"/>
      <c r="AD77" s="1401"/>
      <c r="AJ77" s="1400"/>
      <c r="AN77" s="1401"/>
    </row>
    <row r="78" spans="1:40" ht="15">
      <c r="A78" s="2386" t="s">
        <v>1036</v>
      </c>
      <c r="B78" s="2387">
        <f>1+E80</f>
        <v>1</v>
      </c>
      <c r="C78" s="2406"/>
      <c r="D78" s="2389"/>
      <c r="E78" s="2390"/>
      <c r="F78" s="2391"/>
      <c r="G78" s="2385"/>
      <c r="H78" s="2385"/>
      <c r="I78" s="2385"/>
      <c r="J78" s="1062"/>
      <c r="K78" s="1062"/>
      <c r="L78" s="1062"/>
      <c r="M78" s="1062"/>
      <c r="N78" s="1062"/>
      <c r="AC78" s="1402"/>
      <c r="AD78" s="1401"/>
      <c r="AJ78" s="1400"/>
      <c r="AN78" s="1401"/>
    </row>
    <row r="79" spans="1:40" ht="24">
      <c r="A79" s="1063"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402"/>
      <c r="AD79" s="1401"/>
      <c r="AJ79" s="1400"/>
      <c r="AN79" s="1401"/>
    </row>
    <row r="80" spans="1:40" ht="36">
      <c r="A80" s="1063" t="s">
        <v>1037</v>
      </c>
      <c r="B80" s="2370" t="str">
        <f>估价对象房地状况!G15</f>
        <v>估价对象位于XX开发区，园区建设成熟度XX，产业集聚程度XX</v>
      </c>
      <c r="C80" s="105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2"/>
      <c r="AD80" s="1401"/>
      <c r="AJ80" s="1400"/>
      <c r="AN80" s="1401"/>
    </row>
    <row r="81" spans="1:40" ht="48">
      <c r="A81" s="1063" t="s">
        <v>1033</v>
      </c>
      <c r="B81" s="2370" t="str">
        <f>估价对象房地状况!G16</f>
        <v>估价对象周边道路状况、公共交通通达情况、停车便捷程度，综合评价交通便捷度较好</v>
      </c>
      <c r="C81" s="105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2"/>
      <c r="AD81" s="1401"/>
      <c r="AJ81" s="1400"/>
      <c r="AN81" s="1401"/>
    </row>
    <row r="82" spans="1:40" ht="24">
      <c r="A82" s="1063" t="s">
        <v>1022</v>
      </c>
      <c r="B82" s="2370">
        <f>估价对象房地状况!G17</f>
        <v>0</v>
      </c>
      <c r="C82" s="105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2"/>
      <c r="AD82" s="1401"/>
      <c r="AJ82" s="1400"/>
      <c r="AN82" s="1401"/>
    </row>
    <row r="83" spans="1:40" ht="14.25">
      <c r="A83" s="1063" t="s">
        <v>1034</v>
      </c>
      <c r="B83" s="2370">
        <f>估价对象房地状况!G22</f>
        <v>0</v>
      </c>
      <c r="C83" s="105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2"/>
      <c r="AD83" s="1401"/>
      <c r="AJ83" s="1400"/>
      <c r="AN83" s="1401"/>
    </row>
    <row r="84" spans="1:40" ht="24">
      <c r="A84" s="1063" t="s">
        <v>1026</v>
      </c>
      <c r="B84" s="2371" t="str">
        <f>估价对象房地状况!G19</f>
        <v>估价对象所在区域公共配套设施齐备情况</v>
      </c>
      <c r="C84" s="105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2"/>
      <c r="AD84" s="1401"/>
      <c r="AJ84" s="1400"/>
      <c r="AN84" s="1401"/>
    </row>
    <row r="85" spans="1:40" ht="24">
      <c r="A85" s="1063" t="s">
        <v>1027</v>
      </c>
      <c r="B85" s="2371" t="str">
        <f>估价对象房地状况!G20</f>
        <v>估价对象所在区域基础设施水平</v>
      </c>
      <c r="C85" s="105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2"/>
      <c r="AD85" s="1401"/>
      <c r="AJ85" s="1400"/>
      <c r="AN85" s="1401"/>
    </row>
    <row r="86" spans="1:40" ht="24">
      <c r="A86" s="1063" t="s">
        <v>1025</v>
      </c>
      <c r="B86" s="3046" t="s">
        <v>2935</v>
      </c>
      <c r="C86" s="105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2"/>
      <c r="AD86" s="1401"/>
      <c r="AJ86" s="1400"/>
      <c r="AN86" s="1401"/>
    </row>
    <row r="87" spans="1:40" ht="36.75" thickBot="1">
      <c r="A87" s="2403" t="s">
        <v>1038</v>
      </c>
      <c r="B87" s="2372" t="str">
        <f>估价对象房地状况!G18</f>
        <v>该园区内是否有污染型企业，绿化情况，卫生条件，整体环境状况判断</v>
      </c>
      <c r="C87" s="105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2"/>
      <c r="AD87" s="1401"/>
      <c r="AJ87" s="1400"/>
      <c r="AN87" s="1401"/>
    </row>
    <row r="90" spans="1:40">
      <c r="A90" s="3425" t="s">
        <v>1633</v>
      </c>
      <c r="B90" s="3425"/>
      <c r="C90" s="3425"/>
      <c r="D90" s="3425"/>
      <c r="E90" s="3425"/>
      <c r="F90" s="3425"/>
      <c r="G90" s="3425"/>
      <c r="H90" s="3425"/>
      <c r="I90" s="3425"/>
      <c r="J90" s="3425"/>
      <c r="K90" s="2412"/>
      <c r="L90" s="2412"/>
      <c r="M90" s="2412"/>
      <c r="N90" s="2412"/>
    </row>
    <row r="91" spans="1:40">
      <c r="A91" s="3426" t="s">
        <v>1443</v>
      </c>
      <c r="B91" s="3426" t="s">
        <v>1634</v>
      </c>
      <c r="C91" s="1136" t="s">
        <v>1635</v>
      </c>
      <c r="D91" s="1137"/>
      <c r="E91" s="1137"/>
      <c r="F91" s="1137"/>
      <c r="G91" s="1137"/>
      <c r="H91" s="1137"/>
      <c r="I91" s="1137"/>
      <c r="J91" s="1138"/>
      <c r="K91" s="1130"/>
      <c r="L91" s="1130"/>
      <c r="M91" s="1130"/>
      <c r="N91" s="1130"/>
    </row>
    <row r="92" spans="1:40">
      <c r="A92" s="3426"/>
      <c r="B92" s="3426"/>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3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4"/>
      <c r="B108" s="343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5"/>
      <c r="B109" s="343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9" t="s">
        <v>1639</v>
      </c>
      <c r="B110" s="3419"/>
      <c r="C110" s="3419"/>
      <c r="D110" s="3419"/>
      <c r="E110" s="3419"/>
      <c r="F110" s="3419"/>
      <c r="G110" s="3419"/>
      <c r="H110" s="3419"/>
      <c r="I110" s="3419"/>
      <c r="J110" s="3419"/>
      <c r="K110" s="2410"/>
      <c r="L110" s="2410"/>
      <c r="M110" s="2410"/>
      <c r="N110" s="2410"/>
    </row>
    <row r="112" spans="1:14" ht="12.75" thickBot="1"/>
    <row r="113" spans="1:13" ht="25.5" thickBot="1">
      <c r="A113" s="1016" t="s">
        <v>896</v>
      </c>
      <c r="B113" s="2413">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2990</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6" t="s">
        <v>1007</v>
      </c>
      <c r="B18" s="1150" t="s">
        <v>1446</v>
      </c>
      <c r="C18" s="1127" t="s">
        <v>1447</v>
      </c>
      <c r="D18" s="1128"/>
      <c r="E18" s="1150">
        <v>1</v>
      </c>
      <c r="F18" s="1129" t="s">
        <v>1448</v>
      </c>
      <c r="G18" s="1130"/>
      <c r="H18" s="1101"/>
      <c r="I18" s="1101"/>
    </row>
    <row r="19" spans="1:9" s="1585" customFormat="1" ht="19.5" customHeight="1">
      <c r="A19" s="3426"/>
      <c r="B19" s="3426" t="s">
        <v>1449</v>
      </c>
      <c r="C19" s="1127" t="s">
        <v>1450</v>
      </c>
      <c r="D19" s="1128"/>
      <c r="E19" s="1150">
        <v>0.9</v>
      </c>
      <c r="F19" s="1129" t="s">
        <v>1451</v>
      </c>
      <c r="G19" s="1130"/>
      <c r="H19" s="1101"/>
      <c r="I19" s="1101"/>
    </row>
    <row r="20" spans="1:9" s="1585" customFormat="1" ht="19.5" customHeight="1">
      <c r="A20" s="3426"/>
      <c r="B20" s="3426"/>
      <c r="C20" s="1127" t="s">
        <v>1452</v>
      </c>
      <c r="D20" s="1128"/>
      <c r="E20" s="1150">
        <v>1.1000000000000001</v>
      </c>
      <c r="F20" s="1129" t="s">
        <v>1453</v>
      </c>
      <c r="G20" s="1130"/>
      <c r="H20" s="1101"/>
      <c r="I20" s="1101"/>
    </row>
    <row r="21" spans="1:9" s="1585" customFormat="1" ht="19.5" customHeight="1">
      <c r="A21" s="3426"/>
      <c r="B21" s="3426"/>
      <c r="C21" s="1127" t="s">
        <v>1454</v>
      </c>
      <c r="D21" s="1128"/>
      <c r="E21" s="1150">
        <v>0.8</v>
      </c>
      <c r="F21" s="1129" t="s">
        <v>1455</v>
      </c>
      <c r="G21" s="1130"/>
      <c r="H21" s="1101"/>
      <c r="I21" s="1101"/>
    </row>
    <row r="22" spans="1:9" s="1585" customFormat="1" ht="19.5" customHeight="1">
      <c r="A22" s="3426"/>
      <c r="B22" s="3426"/>
      <c r="C22" s="1127" t="s">
        <v>1456</v>
      </c>
      <c r="D22" s="1128"/>
      <c r="E22" s="1150">
        <v>0.5</v>
      </c>
      <c r="F22" s="1129"/>
      <c r="G22" s="1130"/>
      <c r="H22" s="1101"/>
      <c r="I22" s="1101"/>
    </row>
    <row r="23" spans="1:9" s="1585" customFormat="1" ht="19.5" customHeight="1">
      <c r="A23" s="3426" t="s">
        <v>1029</v>
      </c>
      <c r="B23" s="1150" t="s">
        <v>1446</v>
      </c>
      <c r="C23" s="1127" t="s">
        <v>1457</v>
      </c>
      <c r="D23" s="1128"/>
      <c r="E23" s="1150">
        <v>1</v>
      </c>
      <c r="F23" s="1129" t="s">
        <v>1458</v>
      </c>
      <c r="G23" s="1130"/>
      <c r="H23" s="1101"/>
      <c r="I23" s="1101"/>
    </row>
    <row r="24" spans="1:9" s="1585" customFormat="1" ht="19.5" customHeight="1">
      <c r="A24" s="3426"/>
      <c r="B24" s="3426" t="s">
        <v>1449</v>
      </c>
      <c r="C24" s="1127" t="s">
        <v>1459</v>
      </c>
      <c r="D24" s="1128"/>
      <c r="E24" s="1150">
        <v>0.5</v>
      </c>
      <c r="F24" s="1129"/>
      <c r="G24" s="1130"/>
      <c r="H24" s="1101"/>
      <c r="I24" s="1101"/>
    </row>
    <row r="25" spans="1:9" s="1585" customFormat="1" ht="19.5" customHeight="1">
      <c r="A25" s="3426"/>
      <c r="B25" s="3426"/>
      <c r="C25" s="1127" t="s">
        <v>1460</v>
      </c>
      <c r="D25" s="1128"/>
      <c r="E25" s="1150">
        <v>1.1000000000000001</v>
      </c>
      <c r="F25" s="1129"/>
      <c r="G25" s="1130"/>
      <c r="H25" s="1101"/>
      <c r="I25" s="1101"/>
    </row>
    <row r="26" spans="1:9" s="1585" customFormat="1" ht="19.5" customHeight="1">
      <c r="A26" s="3426"/>
      <c r="B26" s="3426"/>
      <c r="C26" s="1127" t="s">
        <v>1461</v>
      </c>
      <c r="D26" s="1128"/>
      <c r="E26" s="1150">
        <v>1.1000000000000001</v>
      </c>
      <c r="F26" s="1129"/>
      <c r="G26" s="1130"/>
      <c r="H26" s="1101"/>
      <c r="I26" s="1101"/>
    </row>
    <row r="27" spans="1:9" s="1585" customFormat="1" ht="19.5" customHeight="1">
      <c r="A27" s="3426"/>
      <c r="B27" s="3426"/>
      <c r="C27" s="1127" t="s">
        <v>1462</v>
      </c>
      <c r="D27" s="1128"/>
      <c r="E27" s="1150">
        <v>0.9</v>
      </c>
      <c r="F27" s="1129" t="s">
        <v>1463</v>
      </c>
      <c r="G27" s="1130"/>
      <c r="H27" s="1101"/>
      <c r="I27" s="1101"/>
    </row>
    <row r="28" spans="1:9" s="1585" customFormat="1" ht="19.5" customHeight="1">
      <c r="A28" s="3426"/>
      <c r="B28" s="3426"/>
      <c r="C28" s="1127" t="s">
        <v>1464</v>
      </c>
      <c r="D28" s="1128"/>
      <c r="E28" s="1150">
        <v>0.9</v>
      </c>
      <c r="F28" s="1129" t="s">
        <v>1465</v>
      </c>
      <c r="G28" s="1130"/>
      <c r="H28" s="1101"/>
      <c r="I28" s="1101"/>
    </row>
    <row r="29" spans="1:9" s="1585" customFormat="1" ht="19.5" customHeight="1">
      <c r="A29" s="3426"/>
      <c r="B29" s="3426"/>
      <c r="C29" s="1127" t="s">
        <v>1466</v>
      </c>
      <c r="D29" s="1128"/>
      <c r="E29" s="1150">
        <v>0.9</v>
      </c>
      <c r="F29" s="1129" t="s">
        <v>1467</v>
      </c>
      <c r="G29" s="1130"/>
      <c r="H29" s="1101"/>
      <c r="I29" s="1101"/>
    </row>
    <row r="30" spans="1:9" s="1585" customFormat="1" ht="19.5" customHeight="1">
      <c r="A30" s="3426"/>
      <c r="B30" s="3426"/>
      <c r="C30" s="1127" t="s">
        <v>1468</v>
      </c>
      <c r="D30" s="1128"/>
      <c r="E30" s="1150">
        <v>0.9</v>
      </c>
      <c r="F30" s="1129" t="s">
        <v>1469</v>
      </c>
      <c r="G30" s="1130"/>
      <c r="H30" s="1101"/>
      <c r="I30" s="1101"/>
    </row>
    <row r="31" spans="1:9" s="1585" customFormat="1" ht="19.5" customHeight="1">
      <c r="A31" s="3426"/>
      <c r="B31" s="3426"/>
      <c r="C31" s="1127" t="s">
        <v>1470</v>
      </c>
      <c r="D31" s="1128"/>
      <c r="E31" s="1150">
        <v>0.8</v>
      </c>
      <c r="F31" s="1129" t="s">
        <v>1471</v>
      </c>
      <c r="G31" s="1130"/>
      <c r="H31" s="1101"/>
      <c r="I31" s="1101"/>
    </row>
    <row r="32" spans="1:9" s="1585" customFormat="1" ht="19.5" customHeight="1">
      <c r="A32" s="3426"/>
      <c r="B32" s="3426"/>
      <c r="C32" s="1127" t="s">
        <v>1472</v>
      </c>
      <c r="D32" s="1128"/>
      <c r="E32" s="1150">
        <v>0.8</v>
      </c>
      <c r="F32" s="1129" t="s">
        <v>1473</v>
      </c>
      <c r="G32" s="1130"/>
      <c r="H32" s="1101"/>
      <c r="I32" s="1101"/>
    </row>
    <row r="33" spans="1:9" s="1585" customFormat="1" ht="19.5" customHeight="1">
      <c r="A33" s="3426" t="s">
        <v>1474</v>
      </c>
      <c r="B33" s="1150" t="s">
        <v>1446</v>
      </c>
      <c r="C33" s="1127" t="s">
        <v>1475</v>
      </c>
      <c r="D33" s="1128"/>
      <c r="E33" s="1150">
        <v>1</v>
      </c>
      <c r="F33" s="1129" t="s">
        <v>1476</v>
      </c>
      <c r="G33" s="1130"/>
      <c r="H33" s="1101"/>
      <c r="I33" s="1101"/>
    </row>
    <row r="34" spans="1:9" s="1585" customFormat="1" ht="19.5" customHeight="1">
      <c r="A34" s="3426"/>
      <c r="B34" s="1150" t="s">
        <v>1449</v>
      </c>
      <c r="C34" s="1127" t="s">
        <v>1477</v>
      </c>
      <c r="D34" s="1128"/>
      <c r="E34" s="1150">
        <v>1.5</v>
      </c>
      <c r="F34" s="1129" t="s">
        <v>1478</v>
      </c>
      <c r="G34" s="1130"/>
      <c r="H34" s="1101"/>
      <c r="I34" s="1101"/>
    </row>
    <row r="35" spans="1:9" s="1585" customFormat="1" ht="19.5" customHeight="1">
      <c r="A35" s="3426" t="s">
        <v>1432</v>
      </c>
      <c r="B35" s="1150" t="s">
        <v>1446</v>
      </c>
      <c r="C35" s="1127" t="s">
        <v>1479</v>
      </c>
      <c r="D35" s="1128"/>
      <c r="E35" s="1150">
        <v>1</v>
      </c>
      <c r="F35" s="1129" t="s">
        <v>1480</v>
      </c>
      <c r="G35" s="1130"/>
      <c r="H35" s="1101"/>
      <c r="I35" s="1101"/>
    </row>
    <row r="36" spans="1:9" s="1585" customFormat="1" ht="19.5" customHeight="1">
      <c r="A36" s="3426"/>
      <c r="B36" s="3426" t="s">
        <v>1449</v>
      </c>
      <c r="C36" s="1127" t="s">
        <v>1481</v>
      </c>
      <c r="D36" s="1128"/>
      <c r="E36" s="1150">
        <v>1</v>
      </c>
      <c r="F36" s="1129" t="s">
        <v>1482</v>
      </c>
      <c r="G36" s="1130"/>
      <c r="H36" s="1101"/>
      <c r="I36" s="1101"/>
    </row>
    <row r="37" spans="1:9" s="1585" customFormat="1" ht="19.5" customHeight="1">
      <c r="A37" s="3426"/>
      <c r="B37" s="3426"/>
      <c r="C37" s="1127" t="s">
        <v>1483</v>
      </c>
      <c r="D37" s="1128"/>
      <c r="E37" s="1150">
        <v>1.5</v>
      </c>
      <c r="F37" s="1129" t="s">
        <v>1484</v>
      </c>
      <c r="G37" s="1130"/>
      <c r="H37" s="1101"/>
      <c r="I37" s="1101"/>
    </row>
    <row r="38" spans="1:9" s="1585" customFormat="1" ht="19.5" customHeight="1">
      <c r="A38" s="3426"/>
      <c r="B38" s="3426"/>
      <c r="C38" s="1127" t="s">
        <v>1485</v>
      </c>
      <c r="D38" s="1128"/>
      <c r="E38" s="1150">
        <v>1</v>
      </c>
      <c r="F38" s="1129" t="s">
        <v>1486</v>
      </c>
      <c r="G38" s="1130"/>
      <c r="H38" s="1101"/>
      <c r="I38" s="1101"/>
    </row>
    <row r="39" spans="1:9" s="1585" customFormat="1" ht="19.5" customHeight="1">
      <c r="A39" s="3426"/>
      <c r="B39" s="342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6" t="s">
        <v>1501</v>
      </c>
      <c r="C61" s="1064" t="s">
        <v>1502</v>
      </c>
      <c r="D61" s="1064" t="s">
        <v>1503</v>
      </c>
      <c r="E61" s="1135">
        <v>0.5</v>
      </c>
      <c r="F61" s="1150">
        <v>80</v>
      </c>
      <c r="H61" s="1101">
        <f>SUMIF(C59:C119,基准地价!C8,E59:E119)</f>
        <v>0</v>
      </c>
    </row>
    <row r="62" spans="1:8" s="1101" customFormat="1" ht="24">
      <c r="A62" s="1150">
        <v>2</v>
      </c>
      <c r="B62" s="3426"/>
      <c r="C62" s="1064" t="s">
        <v>1504</v>
      </c>
      <c r="D62" s="1064" t="s">
        <v>1505</v>
      </c>
      <c r="E62" s="1135">
        <v>0.5</v>
      </c>
      <c r="F62" s="1150">
        <v>80</v>
      </c>
    </row>
    <row r="63" spans="1:8" s="1101" customFormat="1" ht="36">
      <c r="A63" s="1150">
        <v>3</v>
      </c>
      <c r="B63" s="3426"/>
      <c r="C63" s="1064" t="s">
        <v>1506</v>
      </c>
      <c r="D63" s="1064" t="s">
        <v>1507</v>
      </c>
      <c r="E63" s="1135">
        <v>0.5</v>
      </c>
      <c r="F63" s="1150">
        <v>80</v>
      </c>
    </row>
    <row r="64" spans="1:8" s="1101" customFormat="1" ht="36">
      <c r="A64" s="1150">
        <v>4</v>
      </c>
      <c r="B64" s="3426"/>
      <c r="C64" s="1064" t="s">
        <v>1508</v>
      </c>
      <c r="D64" s="1064" t="s">
        <v>1509</v>
      </c>
      <c r="E64" s="1135">
        <v>0.4</v>
      </c>
      <c r="F64" s="1150">
        <v>60</v>
      </c>
    </row>
    <row r="65" spans="1:6" s="1101" customFormat="1" ht="36">
      <c r="A65" s="1150">
        <v>5</v>
      </c>
      <c r="B65" s="3426"/>
      <c r="C65" s="1064" t="s">
        <v>1510</v>
      </c>
      <c r="D65" s="1064" t="s">
        <v>1511</v>
      </c>
      <c r="E65" s="1135">
        <v>0.2</v>
      </c>
      <c r="F65" s="1150">
        <v>30</v>
      </c>
    </row>
    <row r="66" spans="1:6" s="1101" customFormat="1" ht="36">
      <c r="A66" s="1150">
        <v>6</v>
      </c>
      <c r="B66" s="3426"/>
      <c r="C66" s="1064" t="s">
        <v>1512</v>
      </c>
      <c r="D66" s="1064" t="s">
        <v>1513</v>
      </c>
      <c r="E66" s="1135">
        <v>0.3</v>
      </c>
      <c r="F66" s="1150">
        <v>50</v>
      </c>
    </row>
    <row r="67" spans="1:6" s="1101" customFormat="1" ht="36">
      <c r="A67" s="1150">
        <v>7</v>
      </c>
      <c r="B67" s="3426"/>
      <c r="C67" s="1064" t="s">
        <v>1514</v>
      </c>
      <c r="D67" s="1064" t="s">
        <v>1515</v>
      </c>
      <c r="E67" s="1135">
        <v>0.2</v>
      </c>
      <c r="F67" s="1150">
        <v>30</v>
      </c>
    </row>
    <row r="68" spans="1:6" s="1101" customFormat="1" ht="36">
      <c r="A68" s="1150">
        <v>8</v>
      </c>
      <c r="B68" s="3426"/>
      <c r="C68" s="1064" t="s">
        <v>1516</v>
      </c>
      <c r="D68" s="1064" t="s">
        <v>1517</v>
      </c>
      <c r="E68" s="1135">
        <v>0.2</v>
      </c>
      <c r="F68" s="1150">
        <v>30</v>
      </c>
    </row>
    <row r="69" spans="1:6" s="1101" customFormat="1" ht="36">
      <c r="A69" s="1150">
        <v>9</v>
      </c>
      <c r="B69" s="3426"/>
      <c r="C69" s="1064" t="s">
        <v>1518</v>
      </c>
      <c r="D69" s="1064" t="s">
        <v>1519</v>
      </c>
      <c r="E69" s="1135">
        <v>0.2</v>
      </c>
      <c r="F69" s="1150">
        <v>30</v>
      </c>
    </row>
    <row r="70" spans="1:6" s="1101" customFormat="1" ht="48">
      <c r="A70" s="1150">
        <v>10</v>
      </c>
      <c r="B70" s="3426"/>
      <c r="C70" s="1064" t="s">
        <v>1520</v>
      </c>
      <c r="D70" s="1064" t="s">
        <v>1521</v>
      </c>
      <c r="E70" s="1135">
        <v>0.2</v>
      </c>
      <c r="F70" s="1150">
        <v>30</v>
      </c>
    </row>
    <row r="71" spans="1:6" s="1101" customFormat="1" ht="48">
      <c r="A71" s="1150">
        <v>11</v>
      </c>
      <c r="B71" s="3426"/>
      <c r="C71" s="1064" t="s">
        <v>1522</v>
      </c>
      <c r="D71" s="1064" t="s">
        <v>1523</v>
      </c>
      <c r="E71" s="1135">
        <v>0.2</v>
      </c>
      <c r="F71" s="1150">
        <v>30</v>
      </c>
    </row>
    <row r="72" spans="1:6" s="1101" customFormat="1" ht="36">
      <c r="A72" s="1150">
        <v>12</v>
      </c>
      <c r="B72" s="3426"/>
      <c r="C72" s="1064" t="s">
        <v>1524</v>
      </c>
      <c r="D72" s="1064" t="s">
        <v>1525</v>
      </c>
      <c r="E72" s="1135">
        <v>0.5</v>
      </c>
      <c r="F72" s="1150">
        <v>80</v>
      </c>
    </row>
    <row r="73" spans="1:6" s="1101" customFormat="1" ht="24">
      <c r="A73" s="1150">
        <v>13</v>
      </c>
      <c r="B73" s="3426"/>
      <c r="C73" s="1064" t="s">
        <v>1526</v>
      </c>
      <c r="D73" s="1064" t="s">
        <v>1527</v>
      </c>
      <c r="E73" s="1135">
        <v>0.4</v>
      </c>
      <c r="F73" s="1150">
        <v>60</v>
      </c>
    </row>
    <row r="74" spans="1:6" s="1101" customFormat="1" ht="24">
      <c r="A74" s="1150">
        <v>14</v>
      </c>
      <c r="B74" s="3426"/>
      <c r="C74" s="1064" t="s">
        <v>1528</v>
      </c>
      <c r="D74" s="1064" t="s">
        <v>1529</v>
      </c>
      <c r="E74" s="1135">
        <v>0.2</v>
      </c>
      <c r="F74" s="1150">
        <v>30</v>
      </c>
    </row>
    <row r="75" spans="1:6" s="1101" customFormat="1" ht="24">
      <c r="A75" s="1150">
        <v>15</v>
      </c>
      <c r="B75" s="3426"/>
      <c r="C75" s="1064" t="s">
        <v>1530</v>
      </c>
      <c r="D75" s="1064" t="s">
        <v>1531</v>
      </c>
      <c r="E75" s="1135">
        <v>0.2</v>
      </c>
      <c r="F75" s="1150">
        <v>30</v>
      </c>
    </row>
    <row r="76" spans="1:6" s="1101" customFormat="1" ht="24">
      <c r="A76" s="1150">
        <v>16</v>
      </c>
      <c r="B76" s="3426" t="s">
        <v>1532</v>
      </c>
      <c r="C76" s="1064" t="s">
        <v>1533</v>
      </c>
      <c r="D76" s="1064" t="s">
        <v>1534</v>
      </c>
      <c r="E76" s="1135">
        <v>0.5</v>
      </c>
      <c r="F76" s="1150">
        <v>80</v>
      </c>
    </row>
    <row r="77" spans="1:6" s="1101" customFormat="1" ht="24">
      <c r="A77" s="1150">
        <v>17</v>
      </c>
      <c r="B77" s="3426"/>
      <c r="C77" s="1064" t="s">
        <v>1535</v>
      </c>
      <c r="D77" s="1064" t="s">
        <v>1536</v>
      </c>
      <c r="E77" s="1135">
        <v>0.5</v>
      </c>
      <c r="F77" s="1150">
        <v>80</v>
      </c>
    </row>
    <row r="78" spans="1:6" s="1101" customFormat="1" ht="24">
      <c r="A78" s="1150">
        <v>18</v>
      </c>
      <c r="B78" s="3426"/>
      <c r="C78" s="1064" t="s">
        <v>1537</v>
      </c>
      <c r="D78" s="1064" t="s">
        <v>1538</v>
      </c>
      <c r="E78" s="1135">
        <v>0.2</v>
      </c>
      <c r="F78" s="1150">
        <v>30</v>
      </c>
    </row>
    <row r="79" spans="1:6" s="1101" customFormat="1" ht="24">
      <c r="A79" s="1150">
        <v>19</v>
      </c>
      <c r="B79" s="3426"/>
      <c r="C79" s="1064" t="s">
        <v>1539</v>
      </c>
      <c r="D79" s="1064" t="s">
        <v>1540</v>
      </c>
      <c r="E79" s="1135">
        <v>0.5</v>
      </c>
      <c r="F79" s="1150">
        <v>80</v>
      </c>
    </row>
    <row r="80" spans="1:6" s="1101" customFormat="1" ht="36">
      <c r="A80" s="1150">
        <v>20</v>
      </c>
      <c r="B80" s="3426"/>
      <c r="C80" s="1064" t="s">
        <v>1541</v>
      </c>
      <c r="D80" s="1064" t="s">
        <v>1542</v>
      </c>
      <c r="E80" s="1135">
        <v>0.2</v>
      </c>
      <c r="F80" s="1150">
        <v>30</v>
      </c>
    </row>
    <row r="81" spans="1:6" s="1101" customFormat="1" ht="36">
      <c r="A81" s="1150">
        <v>21</v>
      </c>
      <c r="B81" s="3426"/>
      <c r="C81" s="1064" t="s">
        <v>1543</v>
      </c>
      <c r="D81" s="1064" t="s">
        <v>1544</v>
      </c>
      <c r="E81" s="1135">
        <v>0.2</v>
      </c>
      <c r="F81" s="1150">
        <v>30</v>
      </c>
    </row>
    <row r="82" spans="1:6" s="1101" customFormat="1" ht="48">
      <c r="A82" s="1150">
        <v>22</v>
      </c>
      <c r="B82" s="3426"/>
      <c r="C82" s="1064" t="s">
        <v>1545</v>
      </c>
      <c r="D82" s="1064" t="s">
        <v>1546</v>
      </c>
      <c r="E82" s="1135">
        <v>0.2</v>
      </c>
      <c r="F82" s="1150">
        <v>30</v>
      </c>
    </row>
    <row r="83" spans="1:6" s="1101" customFormat="1" ht="48">
      <c r="A83" s="1150">
        <v>23</v>
      </c>
      <c r="B83" s="3426"/>
      <c r="C83" s="1064" t="s">
        <v>1547</v>
      </c>
      <c r="D83" s="1064" t="s">
        <v>1548</v>
      </c>
      <c r="E83" s="1135">
        <v>0.2</v>
      </c>
      <c r="F83" s="1150">
        <v>30</v>
      </c>
    </row>
    <row r="84" spans="1:6" s="1101" customFormat="1" ht="36">
      <c r="A84" s="1150">
        <v>24</v>
      </c>
      <c r="B84" s="3426"/>
      <c r="C84" s="1064" t="s">
        <v>1549</v>
      </c>
      <c r="D84" s="1064" t="s">
        <v>1550</v>
      </c>
      <c r="E84" s="1135">
        <v>0.2</v>
      </c>
      <c r="F84" s="1150">
        <v>30</v>
      </c>
    </row>
    <row r="85" spans="1:6" s="1101" customFormat="1" ht="36">
      <c r="A85" s="1150">
        <v>25</v>
      </c>
      <c r="B85" s="3426"/>
      <c r="C85" s="1064" t="s">
        <v>1551</v>
      </c>
      <c r="D85" s="1064" t="s">
        <v>1552</v>
      </c>
      <c r="E85" s="1135">
        <v>0.5</v>
      </c>
      <c r="F85" s="1150">
        <v>80</v>
      </c>
    </row>
    <row r="86" spans="1:6" s="1101" customFormat="1" ht="36">
      <c r="A86" s="1150">
        <v>26</v>
      </c>
      <c r="B86" s="3426"/>
      <c r="C86" s="1064" t="s">
        <v>1553</v>
      </c>
      <c r="D86" s="1064" t="s">
        <v>1554</v>
      </c>
      <c r="E86" s="1135">
        <v>0.2</v>
      </c>
      <c r="F86" s="1150">
        <v>30</v>
      </c>
    </row>
    <row r="87" spans="1:6" s="1101" customFormat="1" ht="36">
      <c r="A87" s="1150">
        <v>27</v>
      </c>
      <c r="B87" s="3426"/>
      <c r="C87" s="1064" t="s">
        <v>1555</v>
      </c>
      <c r="D87" s="1064" t="s">
        <v>1556</v>
      </c>
      <c r="E87" s="1135">
        <v>0.2</v>
      </c>
      <c r="F87" s="1150">
        <v>30</v>
      </c>
    </row>
    <row r="88" spans="1:6" s="1101" customFormat="1" ht="36">
      <c r="A88" s="1150">
        <v>28</v>
      </c>
      <c r="B88" s="3426"/>
      <c r="C88" s="1064" t="s">
        <v>1557</v>
      </c>
      <c r="D88" s="1064" t="s">
        <v>1558</v>
      </c>
      <c r="E88" s="1135">
        <v>0.2</v>
      </c>
      <c r="F88" s="1150">
        <v>30</v>
      </c>
    </row>
    <row r="89" spans="1:6" s="1101" customFormat="1" ht="24">
      <c r="A89" s="1150">
        <v>29</v>
      </c>
      <c r="B89" s="3426"/>
      <c r="C89" s="1064" t="s">
        <v>1559</v>
      </c>
      <c r="D89" s="1064" t="s">
        <v>1560</v>
      </c>
      <c r="E89" s="1135">
        <v>0.2</v>
      </c>
      <c r="F89" s="1150">
        <v>30</v>
      </c>
    </row>
    <row r="90" spans="1:6" s="1101" customFormat="1" ht="24">
      <c r="A90" s="1150">
        <v>30</v>
      </c>
      <c r="B90" s="3426"/>
      <c r="C90" s="1064" t="s">
        <v>1561</v>
      </c>
      <c r="D90" s="1064" t="s">
        <v>1562</v>
      </c>
      <c r="E90" s="1135">
        <v>0.2</v>
      </c>
      <c r="F90" s="1150">
        <v>30</v>
      </c>
    </row>
    <row r="91" spans="1:6" s="1101" customFormat="1" ht="36">
      <c r="A91" s="1150">
        <v>31</v>
      </c>
      <c r="B91" s="3426"/>
      <c r="C91" s="1064" t="s">
        <v>1563</v>
      </c>
      <c r="D91" s="1064" t="s">
        <v>1564</v>
      </c>
      <c r="E91" s="1135">
        <v>0.2</v>
      </c>
      <c r="F91" s="1150">
        <v>30</v>
      </c>
    </row>
    <row r="92" spans="1:6" s="1101" customFormat="1" ht="24">
      <c r="A92" s="1150">
        <v>32</v>
      </c>
      <c r="B92" s="3426" t="s">
        <v>1565</v>
      </c>
      <c r="C92" s="1150" t="s">
        <v>1566</v>
      </c>
      <c r="D92" s="1064" t="s">
        <v>1567</v>
      </c>
      <c r="E92" s="1135">
        <v>0.2</v>
      </c>
      <c r="F92" s="1150">
        <v>30</v>
      </c>
    </row>
    <row r="93" spans="1:6" s="1101" customFormat="1" ht="36">
      <c r="A93" s="1150">
        <v>33</v>
      </c>
      <c r="B93" s="3426"/>
      <c r="C93" s="1150" t="s">
        <v>1568</v>
      </c>
      <c r="D93" s="1064" t="s">
        <v>1569</v>
      </c>
      <c r="E93" s="1135">
        <v>0.2</v>
      </c>
      <c r="F93" s="1150">
        <v>30</v>
      </c>
    </row>
    <row r="94" spans="1:6" s="1101" customFormat="1" ht="48">
      <c r="A94" s="1150">
        <v>34</v>
      </c>
      <c r="B94" s="3426"/>
      <c r="C94" s="1150" t="s">
        <v>1570</v>
      </c>
      <c r="D94" s="1064" t="s">
        <v>1571</v>
      </c>
      <c r="E94" s="1135">
        <v>0.2</v>
      </c>
      <c r="F94" s="1150">
        <v>30</v>
      </c>
    </row>
    <row r="95" spans="1:6" s="1101" customFormat="1" ht="36">
      <c r="A95" s="1150">
        <v>35</v>
      </c>
      <c r="B95" s="3426"/>
      <c r="C95" s="1150" t="s">
        <v>1572</v>
      </c>
      <c r="D95" s="1064" t="s">
        <v>1573</v>
      </c>
      <c r="E95" s="1135">
        <v>0.2</v>
      </c>
      <c r="F95" s="1150">
        <v>30</v>
      </c>
    </row>
    <row r="96" spans="1:6" s="1101" customFormat="1" ht="48">
      <c r="A96" s="1150">
        <v>36</v>
      </c>
      <c r="B96" s="3426"/>
      <c r="C96" s="1064" t="s">
        <v>1574</v>
      </c>
      <c r="D96" s="1064" t="s">
        <v>1575</v>
      </c>
      <c r="E96" s="1135">
        <v>0.2</v>
      </c>
      <c r="F96" s="1150">
        <v>30</v>
      </c>
    </row>
    <row r="97" spans="1:6" s="1101" customFormat="1" ht="36">
      <c r="A97" s="1150">
        <v>37</v>
      </c>
      <c r="B97" s="3426"/>
      <c r="C97" s="1150" t="s">
        <v>1576</v>
      </c>
      <c r="D97" s="1064" t="s">
        <v>1577</v>
      </c>
      <c r="E97" s="1135">
        <v>0.2</v>
      </c>
      <c r="F97" s="1150">
        <v>30</v>
      </c>
    </row>
    <row r="98" spans="1:6" s="1101" customFormat="1" ht="36">
      <c r="A98" s="1150">
        <v>38</v>
      </c>
      <c r="B98" s="3426"/>
      <c r="C98" s="1150" t="s">
        <v>1578</v>
      </c>
      <c r="D98" s="1064" t="s">
        <v>1579</v>
      </c>
      <c r="E98" s="1135">
        <v>0.2</v>
      </c>
      <c r="F98" s="1150">
        <v>30</v>
      </c>
    </row>
    <row r="99" spans="1:6" s="1101" customFormat="1" ht="36">
      <c r="A99" s="1150">
        <v>39</v>
      </c>
      <c r="B99" s="3426" t="s">
        <v>1580</v>
      </c>
      <c r="C99" s="1150" t="s">
        <v>1581</v>
      </c>
      <c r="D99" s="1064" t="s">
        <v>1582</v>
      </c>
      <c r="E99" s="1135">
        <v>0.3</v>
      </c>
      <c r="F99" s="1150">
        <v>50</v>
      </c>
    </row>
    <row r="100" spans="1:6" s="1101" customFormat="1" ht="24">
      <c r="A100" s="1150">
        <v>40</v>
      </c>
      <c r="B100" s="3426"/>
      <c r="C100" s="1150" t="s">
        <v>1583</v>
      </c>
      <c r="D100" s="1064" t="s">
        <v>1584</v>
      </c>
      <c r="E100" s="1135">
        <v>0.2</v>
      </c>
      <c r="F100" s="1150">
        <v>30</v>
      </c>
    </row>
    <row r="101" spans="1:6" s="1101" customFormat="1" ht="36">
      <c r="A101" s="1150">
        <v>41</v>
      </c>
      <c r="B101" s="342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6" t="s">
        <v>1595</v>
      </c>
      <c r="C105" s="1150" t="s">
        <v>1596</v>
      </c>
      <c r="D105" s="1064" t="s">
        <v>1597</v>
      </c>
      <c r="E105" s="1135">
        <v>0.2</v>
      </c>
      <c r="F105" s="1150">
        <v>30</v>
      </c>
    </row>
    <row r="106" spans="1:6" s="1101" customFormat="1" ht="36">
      <c r="A106" s="1150">
        <v>46</v>
      </c>
      <c r="B106" s="3426"/>
      <c r="C106" s="1150" t="s">
        <v>1598</v>
      </c>
      <c r="D106" s="1064" t="s">
        <v>1599</v>
      </c>
      <c r="E106" s="1135">
        <v>0.2</v>
      </c>
      <c r="F106" s="1150">
        <v>30</v>
      </c>
    </row>
    <row r="107" spans="1:6" s="1101" customFormat="1" ht="36">
      <c r="A107" s="1150">
        <v>47</v>
      </c>
      <c r="B107" s="3426" t="s">
        <v>1600</v>
      </c>
      <c r="C107" s="1150" t="s">
        <v>1601</v>
      </c>
      <c r="D107" s="1064" t="s">
        <v>1602</v>
      </c>
      <c r="E107" s="1135">
        <v>0.3</v>
      </c>
      <c r="F107" s="1150">
        <v>50</v>
      </c>
    </row>
    <row r="108" spans="1:6" s="1101" customFormat="1" ht="36">
      <c r="A108" s="1150">
        <v>48</v>
      </c>
      <c r="B108" s="342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6" t="s">
        <v>1611</v>
      </c>
      <c r="C111" s="1150" t="s">
        <v>1612</v>
      </c>
      <c r="D111" s="1064" t="s">
        <v>1613</v>
      </c>
      <c r="E111" s="1135">
        <v>0.2</v>
      </c>
      <c r="F111" s="1150">
        <v>30</v>
      </c>
    </row>
    <row r="112" spans="1:6" s="1101" customFormat="1" ht="24">
      <c r="A112" s="1150">
        <v>52</v>
      </c>
      <c r="B112" s="3426"/>
      <c r="C112" s="1150" t="s">
        <v>1614</v>
      </c>
      <c r="D112" s="1064" t="s">
        <v>1615</v>
      </c>
      <c r="E112" s="1135">
        <v>0.2</v>
      </c>
      <c r="F112" s="1150">
        <v>30</v>
      </c>
    </row>
    <row r="113" spans="1:14" s="1101" customFormat="1" ht="24">
      <c r="A113" s="1150">
        <v>53</v>
      </c>
      <c r="B113" s="342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6" t="s">
        <v>1624</v>
      </c>
      <c r="C116" s="1150" t="s">
        <v>1625</v>
      </c>
      <c r="D116" s="1064" t="s">
        <v>1626</v>
      </c>
      <c r="E116" s="1135">
        <v>0.2</v>
      </c>
      <c r="F116" s="1150">
        <v>30</v>
      </c>
    </row>
    <row r="117" spans="1:14" ht="36">
      <c r="A117" s="1150">
        <v>57</v>
      </c>
      <c r="B117" s="342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5" t="s">
        <v>1633</v>
      </c>
      <c r="B121" s="3425"/>
      <c r="C121" s="3425"/>
      <c r="D121" s="3425"/>
      <c r="E121" s="3425"/>
      <c r="F121" s="3425"/>
      <c r="G121" s="3425"/>
      <c r="H121" s="3425"/>
      <c r="I121" s="3425"/>
      <c r="J121" s="342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0" t="s">
        <v>1039</v>
      </c>
      <c r="B1" s="3440"/>
      <c r="C1" s="3440"/>
      <c r="D1" s="3440"/>
      <c r="E1" s="3440"/>
      <c r="F1" s="344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1" t="s">
        <v>1052</v>
      </c>
      <c r="B2" s="3441"/>
      <c r="C2" s="3441"/>
      <c r="D2" s="3441"/>
      <c r="E2" s="3441"/>
      <c r="F2" s="344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4" t="s">
        <v>2079</v>
      </c>
      <c r="B1" s="344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47" t="s">
        <v>2576</v>
      </c>
      <c r="C1" s="3447"/>
      <c r="D1" s="3447"/>
      <c r="E1" s="3447"/>
      <c r="F1" s="3447"/>
      <c r="G1" s="3446" t="s">
        <v>2577</v>
      </c>
      <c r="H1" s="3446"/>
      <c r="I1" s="3446"/>
      <c r="J1" s="3446"/>
      <c r="K1" s="3446"/>
      <c r="L1" s="3446"/>
      <c r="N1" s="3446" t="s">
        <v>2578</v>
      </c>
      <c r="O1" s="3446"/>
      <c r="P1" s="3446"/>
      <c r="Q1" s="3446"/>
      <c r="R1" s="2616"/>
      <c r="S1" s="3446" t="s">
        <v>2579</v>
      </c>
      <c r="T1" s="3446"/>
      <c r="U1" s="3446"/>
      <c r="V1" s="3446"/>
      <c r="X1" s="3445" t="s">
        <v>2639</v>
      </c>
      <c r="Y1" s="3446"/>
      <c r="Z1" s="3446"/>
      <c r="AA1" s="3446"/>
      <c r="AB1" s="3446"/>
      <c r="AD1" s="3445" t="s">
        <v>2643</v>
      </c>
      <c r="AE1" s="3446"/>
      <c r="AF1" s="3446"/>
      <c r="AG1" s="3446"/>
      <c r="AH1" s="3446"/>
    </row>
    <row r="2" spans="1:34" s="2717" customFormat="1" ht="14.25" thickBot="1">
      <c r="B2" s="2725" t="s">
        <v>2580</v>
      </c>
      <c r="C2" s="2725" t="s">
        <v>2641</v>
      </c>
      <c r="D2" s="2718" t="s">
        <v>1644</v>
      </c>
      <c r="E2" s="2718" t="s">
        <v>1949</v>
      </c>
      <c r="F2" s="2725" t="s">
        <v>2642</v>
      </c>
      <c r="G2" s="2721"/>
      <c r="H2" s="2720"/>
      <c r="I2" s="2725" t="s">
        <v>2955</v>
      </c>
      <c r="J2" s="2718" t="s">
        <v>2957</v>
      </c>
      <c r="K2" s="2718" t="s">
        <v>2958</v>
      </c>
      <c r="L2" s="2725" t="s">
        <v>2959</v>
      </c>
      <c r="N2" s="2725" t="s">
        <v>2580</v>
      </c>
      <c r="O2" s="2718" t="s">
        <v>2956</v>
      </c>
      <c r="P2" s="2718" t="s">
        <v>1949</v>
      </c>
      <c r="Q2" s="2725" t="s">
        <v>2642</v>
      </c>
      <c r="R2" s="2719"/>
      <c r="S2" s="2725" t="s">
        <v>2580</v>
      </c>
      <c r="T2" s="2718" t="s">
        <v>2956</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2968</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2991</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2969</v>
      </c>
      <c r="X5" s="3068">
        <f>ROUND(IF(项目基本情况!B7="出让",SUMPRODUCT(PRODUCT(1+N5:N$26)),SUMPRODUCT(PRODUCT(1+N5:N$25))),4)</f>
        <v>1.5189999999999999</v>
      </c>
      <c r="Y5" s="3068">
        <f>ROUND(IF(项目基本情况!B7="出让",SUMPRODUCT(PRODUCT(1+O5:O$26)),SUMPRODUCT(PRODUCT(1+O5:O$25))),4)</f>
        <v>1.3423</v>
      </c>
      <c r="Z5" s="3068">
        <f t="shared" ref="Z5" si="11">Y5</f>
        <v>1.3423</v>
      </c>
      <c r="AA5" s="3068">
        <f>ROUND(IF(项目基本情况!B7="出让",SUMPRODUCT(PRODUCT(1+P5:P$26)),SUMPRODUCT(PRODUCT(1+P5:P$25))),4)</f>
        <v>1.5782</v>
      </c>
      <c r="AB5" s="3068">
        <f>ROUND(IF(项目基本情况!B7="出让",SUMPRODUCT(PRODUCT(1+Q5:Q$26)),SUMPRODUCT(PRODUCT(1+Q5:Q$25))),4)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2992</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9">
        <v>0.6</v>
      </c>
      <c r="J6" s="3149">
        <v>0.37</v>
      </c>
      <c r="K6" s="3149">
        <v>0.63</v>
      </c>
      <c r="L6" s="3150">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2988</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49">
        <v>2018</v>
      </c>
      <c r="H7" s="2620">
        <v>4</v>
      </c>
      <c r="I7" s="3149">
        <v>0.96</v>
      </c>
      <c r="J7" s="3149">
        <v>1.03</v>
      </c>
      <c r="K7" s="3149">
        <v>0.92</v>
      </c>
      <c r="L7" s="3150">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2978</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49"/>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2979</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49"/>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2975</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55"/>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2966</v>
      </c>
      <c r="B11" s="3095">
        <v>439</v>
      </c>
      <c r="C11" s="3095">
        <v>327</v>
      </c>
      <c r="D11" s="3095">
        <f t="shared" si="54"/>
        <v>327</v>
      </c>
      <c r="E11" s="3095">
        <v>627</v>
      </c>
      <c r="F11" s="3096">
        <v>283</v>
      </c>
      <c r="G11" s="3454">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2970</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49"/>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2581</v>
      </c>
      <c r="B13" s="2630">
        <f t="shared" si="66"/>
        <v>419.31181600000002</v>
      </c>
      <c r="C13" s="2630">
        <f t="shared" si="66"/>
        <v>313.95436800000004</v>
      </c>
      <c r="D13" s="2630">
        <f t="shared" si="54"/>
        <v>313.95436800000004</v>
      </c>
      <c r="E13" s="2630">
        <f t="shared" si="67"/>
        <v>596.63028431999999</v>
      </c>
      <c r="F13" s="2630">
        <f t="shared" si="67"/>
        <v>274.74220703999998</v>
      </c>
      <c r="G13" s="3449"/>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2582</v>
      </c>
      <c r="B14" s="2630">
        <f t="shared" si="66"/>
        <v>405.524</v>
      </c>
      <c r="C14" s="2630">
        <f t="shared" si="66"/>
        <v>307.79840000000002</v>
      </c>
      <c r="D14" s="2630">
        <f t="shared" si="54"/>
        <v>307.79840000000002</v>
      </c>
      <c r="E14" s="2630">
        <f t="shared" si="67"/>
        <v>574.67759999999998</v>
      </c>
      <c r="F14" s="2630">
        <f t="shared" si="67"/>
        <v>270.20280000000002</v>
      </c>
      <c r="G14" s="3455"/>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54">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49"/>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49"/>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50"/>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48">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49"/>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49"/>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50"/>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48">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49"/>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49"/>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50"/>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2640</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2583</v>
      </c>
      <c r="B27" s="2622">
        <v>299</v>
      </c>
      <c r="C27" s="2622">
        <v>252</v>
      </c>
      <c r="D27" s="2622">
        <f t="shared" si="76"/>
        <v>252</v>
      </c>
      <c r="E27" s="2622">
        <v>409</v>
      </c>
      <c r="F27" s="2623">
        <v>227</v>
      </c>
      <c r="G27" s="3451">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2584</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52"/>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2585</v>
      </c>
      <c r="B29" s="2630">
        <f t="shared" si="85"/>
        <v>288.2649053828776</v>
      </c>
      <c r="C29" s="2630">
        <f t="shared" si="85"/>
        <v>243.64564425013293</v>
      </c>
      <c r="D29" s="2630">
        <f t="shared" si="76"/>
        <v>243.64564425013293</v>
      </c>
      <c r="E29" s="2630">
        <f t="shared" si="86"/>
        <v>393.31080825986544</v>
      </c>
      <c r="F29" s="2630">
        <f t="shared" si="86"/>
        <v>223.07903790551154</v>
      </c>
      <c r="G29" s="3452"/>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2586</v>
      </c>
      <c r="B30" s="2630">
        <f t="shared" si="85"/>
        <v>282.50186729015837</v>
      </c>
      <c r="C30" s="2630">
        <f t="shared" si="85"/>
        <v>238.09796174155468</v>
      </c>
      <c r="D30" s="2630">
        <f t="shared" si="76"/>
        <v>238.09796174155468</v>
      </c>
      <c r="E30" s="2630">
        <f t="shared" si="86"/>
        <v>385.33438646014054</v>
      </c>
      <c r="F30" s="2630">
        <f t="shared" si="86"/>
        <v>221.55034055567739</v>
      </c>
      <c r="G30" s="3453"/>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2587</v>
      </c>
      <c r="B31" s="2660">
        <v>278</v>
      </c>
      <c r="C31" s="2660">
        <v>234</v>
      </c>
      <c r="D31" s="2660">
        <f t="shared" si="76"/>
        <v>234</v>
      </c>
      <c r="E31" s="2660">
        <v>379</v>
      </c>
      <c r="F31" s="2661">
        <v>220</v>
      </c>
      <c r="G31" s="3448">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2588</v>
      </c>
      <c r="B32" s="2630">
        <f>B31/(1+N31)</f>
        <v>275.49301357645425</v>
      </c>
      <c r="C32" s="2630">
        <f>C31/(1+O31)</f>
        <v>232.41954707985698</v>
      </c>
      <c r="D32" s="2630">
        <f t="shared" si="76"/>
        <v>232.41954707985698</v>
      </c>
      <c r="E32" s="2630">
        <f t="shared" ref="E32:F34" si="87">E31/(1+P31)</f>
        <v>375.32184591008121</v>
      </c>
      <c r="F32" s="2630">
        <f t="shared" si="87"/>
        <v>218.03766105054513</v>
      </c>
      <c r="G32" s="3449"/>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2589</v>
      </c>
      <c r="B33" s="2630">
        <f>B32/(1+N32)</f>
        <v>275.24529281292263</v>
      </c>
      <c r="C33" s="2630">
        <f>C32/(1+O32)</f>
        <v>231.74747938962707</v>
      </c>
      <c r="D33" s="2630">
        <f t="shared" si="76"/>
        <v>231.74747938962707</v>
      </c>
      <c r="E33" s="2630">
        <f t="shared" si="87"/>
        <v>375.35938184826603</v>
      </c>
      <c r="F33" s="2630">
        <f t="shared" si="87"/>
        <v>216.78033510692495</v>
      </c>
      <c r="G33" s="3449"/>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2590</v>
      </c>
      <c r="B34" s="2630">
        <f>B33/(1+N33)</f>
        <v>275.19025476197027</v>
      </c>
      <c r="C34" s="2662">
        <v>232</v>
      </c>
      <c r="D34" s="2662">
        <f t="shared" si="76"/>
        <v>232</v>
      </c>
      <c r="E34" s="2630">
        <f t="shared" si="87"/>
        <v>375.65990977608692</v>
      </c>
      <c r="F34" s="2630">
        <f t="shared" si="87"/>
        <v>214.12518283971252</v>
      </c>
      <c r="G34" s="3450"/>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2591</v>
      </c>
      <c r="B35" s="2622">
        <v>275</v>
      </c>
      <c r="C35" s="2622">
        <v>232</v>
      </c>
      <c r="D35" s="2622">
        <f t="shared" si="76"/>
        <v>232</v>
      </c>
      <c r="E35" s="2622">
        <v>376</v>
      </c>
      <c r="F35" s="2623">
        <v>213</v>
      </c>
      <c r="G35" s="3448">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2592</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49">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2593</v>
      </c>
      <c r="B37" s="2630">
        <f t="shared" si="88"/>
        <v>275.19335084830601</v>
      </c>
      <c r="C37" s="2630">
        <f t="shared" si="88"/>
        <v>230.18088050139744</v>
      </c>
      <c r="D37" s="2630">
        <f t="shared" si="76"/>
        <v>230.18088050139744</v>
      </c>
      <c r="E37" s="2630">
        <f t="shared" si="89"/>
        <v>377.58482925212331</v>
      </c>
      <c r="F37" s="2630">
        <f t="shared" si="89"/>
        <v>210.90687997847917</v>
      </c>
      <c r="G37" s="3449">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2594</v>
      </c>
      <c r="B38" s="2630">
        <f t="shared" si="88"/>
        <v>276.29854502841971</v>
      </c>
      <c r="C38" s="2630">
        <f t="shared" si="88"/>
        <v>229.79023709833027</v>
      </c>
      <c r="D38" s="2630">
        <f t="shared" si="76"/>
        <v>229.79023709833027</v>
      </c>
      <c r="E38" s="2630">
        <f t="shared" si="89"/>
        <v>379.78759731655936</v>
      </c>
      <c r="F38" s="2630">
        <f t="shared" si="89"/>
        <v>211.32953905659235</v>
      </c>
      <c r="G38" s="3450">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2595</v>
      </c>
      <c r="B39" s="2622">
        <v>269</v>
      </c>
      <c r="C39" s="2622">
        <v>221</v>
      </c>
      <c r="D39" s="2622">
        <f t="shared" si="76"/>
        <v>221</v>
      </c>
      <c r="E39" s="2622">
        <v>373</v>
      </c>
      <c r="F39" s="2623">
        <v>196</v>
      </c>
      <c r="G39" s="3448">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2596</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49">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2597</v>
      </c>
      <c r="B41" s="2630">
        <f t="shared" si="90"/>
        <v>242.95398227588385</v>
      </c>
      <c r="C41" s="2630">
        <f t="shared" si="90"/>
        <v>199.59137053614126</v>
      </c>
      <c r="D41" s="2630">
        <f t="shared" si="76"/>
        <v>199.59137053614126</v>
      </c>
      <c r="E41" s="2630">
        <f t="shared" si="91"/>
        <v>335.92189522342125</v>
      </c>
      <c r="F41" s="2630">
        <f t="shared" si="91"/>
        <v>183.10139991109489</v>
      </c>
      <c r="G41" s="3449">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2598</v>
      </c>
      <c r="B42" s="2630">
        <f t="shared" si="90"/>
        <v>232.06990378821649</v>
      </c>
      <c r="C42" s="2630">
        <f t="shared" si="90"/>
        <v>192.74878854286936</v>
      </c>
      <c r="D42" s="2630">
        <f t="shared" si="76"/>
        <v>192.74878854286936</v>
      </c>
      <c r="E42" s="2630">
        <f t="shared" si="91"/>
        <v>319.71247284992984</v>
      </c>
      <c r="F42" s="2630">
        <f t="shared" si="91"/>
        <v>175.67053622862409</v>
      </c>
      <c r="G42" s="3450">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2599</v>
      </c>
      <c r="B43" s="2622">
        <v>220</v>
      </c>
      <c r="C43" s="2622">
        <v>187</v>
      </c>
      <c r="D43" s="2622">
        <f t="shared" si="76"/>
        <v>187</v>
      </c>
      <c r="E43" s="2622">
        <v>301</v>
      </c>
      <c r="F43" s="2623">
        <v>168</v>
      </c>
      <c r="G43" s="3448">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2600</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49">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2601</v>
      </c>
      <c r="B45" s="2630">
        <f t="shared" si="92"/>
        <v>210.630522469011</v>
      </c>
      <c r="C45" s="2630">
        <f t="shared" si="92"/>
        <v>181.69567812247232</v>
      </c>
      <c r="D45" s="2630">
        <f t="shared" si="76"/>
        <v>181.69567812247232</v>
      </c>
      <c r="E45" s="2630">
        <f t="shared" si="93"/>
        <v>286.13517466736738</v>
      </c>
      <c r="F45" s="2630">
        <f t="shared" si="93"/>
        <v>165.47535084591149</v>
      </c>
      <c r="G45" s="3449">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2602</v>
      </c>
      <c r="B46" s="2630">
        <f t="shared" si="92"/>
        <v>208.83454537875372</v>
      </c>
      <c r="C46" s="2630">
        <f t="shared" si="92"/>
        <v>183.77230517090351</v>
      </c>
      <c r="D46" s="2630">
        <f t="shared" si="76"/>
        <v>183.77230517090351</v>
      </c>
      <c r="E46" s="2630">
        <f t="shared" si="93"/>
        <v>281.10342338870947</v>
      </c>
      <c r="F46" s="2630">
        <f t="shared" si="93"/>
        <v>168.97309388942256</v>
      </c>
      <c r="G46" s="3450">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2603</v>
      </c>
      <c r="B47" s="2660">
        <v>214</v>
      </c>
      <c r="C47" s="2660">
        <v>188</v>
      </c>
      <c r="D47" s="2660">
        <f t="shared" si="76"/>
        <v>188</v>
      </c>
      <c r="E47" s="2660">
        <v>289</v>
      </c>
      <c r="F47" s="2661">
        <v>166</v>
      </c>
      <c r="G47" s="3448">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2604</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49">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2605</v>
      </c>
      <c r="B49" s="2630">
        <f t="shared" si="94"/>
        <v>206.31694671589116</v>
      </c>
      <c r="C49" s="2630">
        <f t="shared" si="94"/>
        <v>183.61041121036101</v>
      </c>
      <c r="D49" s="2630">
        <f t="shared" si="76"/>
        <v>183.61041121036101</v>
      </c>
      <c r="E49" s="2630">
        <f t="shared" si="95"/>
        <v>276.66850301795557</v>
      </c>
      <c r="F49" s="2630">
        <f t="shared" si="95"/>
        <v>165.1360938278614</v>
      </c>
      <c r="G49" s="3449">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2606</v>
      </c>
      <c r="B50" s="2663">
        <f t="shared" si="94"/>
        <v>196.62341248059772</v>
      </c>
      <c r="C50" s="2663">
        <f t="shared" si="94"/>
        <v>170.99125648199012</v>
      </c>
      <c r="D50" s="2663">
        <f t="shared" si="76"/>
        <v>170.99125648199012</v>
      </c>
      <c r="E50" s="2663">
        <f t="shared" si="95"/>
        <v>266.07857570490052</v>
      </c>
      <c r="F50" s="2663">
        <f t="shared" si="95"/>
        <v>154.53499328828505</v>
      </c>
      <c r="G50" s="3450">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2607</v>
      </c>
      <c r="B51" s="2622">
        <v>188</v>
      </c>
      <c r="C51" s="2622">
        <v>165</v>
      </c>
      <c r="D51" s="2622">
        <f t="shared" si="76"/>
        <v>165</v>
      </c>
      <c r="E51" s="2622">
        <v>254</v>
      </c>
      <c r="F51" s="2623">
        <v>148</v>
      </c>
      <c r="G51" s="3448">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2608</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49">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2609</v>
      </c>
      <c r="B53" s="2630">
        <f t="shared" si="98"/>
        <v>168.82017748715555</v>
      </c>
      <c r="C53" s="2630">
        <f t="shared" si="98"/>
        <v>148.06267029972753</v>
      </c>
      <c r="D53" s="2630">
        <f t="shared" si="76"/>
        <v>148.06267029972753</v>
      </c>
      <c r="E53" s="2630">
        <f t="shared" si="99"/>
        <v>216.46288379323747</v>
      </c>
      <c r="F53" s="2630">
        <f t="shared" si="99"/>
        <v>134.23529411764704</v>
      </c>
      <c r="G53" s="3449">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2610</v>
      </c>
      <c r="B54" s="2630">
        <f t="shared" si="98"/>
        <v>163.84913591779542</v>
      </c>
      <c r="C54" s="2630">
        <f t="shared" si="98"/>
        <v>145.0283378746594</v>
      </c>
      <c r="D54" s="2630">
        <f t="shared" si="76"/>
        <v>145.0283378746594</v>
      </c>
      <c r="E54" s="2630">
        <f t="shared" si="99"/>
        <v>204.95180722891567</v>
      </c>
      <c r="F54" s="2630">
        <f t="shared" si="99"/>
        <v>125.95920303605313</v>
      </c>
      <c r="G54" s="3450">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2611</v>
      </c>
      <c r="B55" s="2644">
        <v>159</v>
      </c>
      <c r="C55" s="2644">
        <v>141</v>
      </c>
      <c r="D55" s="2644">
        <f t="shared" si="76"/>
        <v>141</v>
      </c>
      <c r="E55" s="2644">
        <v>195</v>
      </c>
      <c r="F55" s="2645">
        <v>122</v>
      </c>
      <c r="G55" s="3448">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2612</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49">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2613</v>
      </c>
      <c r="B57" s="2630">
        <f t="shared" si="102"/>
        <v>146.57412060301507</v>
      </c>
      <c r="C57" s="2630">
        <f t="shared" si="102"/>
        <v>136.46831955922866</v>
      </c>
      <c r="D57" s="2630">
        <f t="shared" si="76"/>
        <v>136.46831955922866</v>
      </c>
      <c r="E57" s="2630">
        <f t="shared" si="103"/>
        <v>166.73864894795128</v>
      </c>
      <c r="F57" s="2630">
        <f t="shared" si="103"/>
        <v>115.05882352941177</v>
      </c>
      <c r="G57" s="3449">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2614</v>
      </c>
      <c r="B58" s="2630">
        <f t="shared" si="102"/>
        <v>144.04145728643215</v>
      </c>
      <c r="C58" s="2630">
        <f t="shared" si="102"/>
        <v>136.12396694214877</v>
      </c>
      <c r="D58" s="2630">
        <f t="shared" si="76"/>
        <v>136.12396694214877</v>
      </c>
      <c r="E58" s="2630">
        <f t="shared" si="103"/>
        <v>158.32225913621264</v>
      </c>
      <c r="F58" s="2630">
        <f t="shared" si="103"/>
        <v>114.04278074866311</v>
      </c>
      <c r="G58" s="3450">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2615</v>
      </c>
      <c r="B59" s="2644">
        <v>138</v>
      </c>
      <c r="C59" s="2644">
        <v>131</v>
      </c>
      <c r="D59" s="2644">
        <f t="shared" si="76"/>
        <v>131</v>
      </c>
      <c r="E59" s="2644">
        <v>155</v>
      </c>
      <c r="F59" s="2645">
        <v>114</v>
      </c>
      <c r="G59" s="3448">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2616</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49">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2617</v>
      </c>
      <c r="B61" s="2630">
        <f t="shared" si="106"/>
        <v>124.29032258064517</v>
      </c>
      <c r="C61" s="2630">
        <f t="shared" si="106"/>
        <v>123.8968609865471</v>
      </c>
      <c r="D61" s="2630">
        <f t="shared" si="76"/>
        <v>123.8968609865471</v>
      </c>
      <c r="E61" s="2630">
        <f t="shared" si="107"/>
        <v>138.00507614213197</v>
      </c>
      <c r="F61" s="2630">
        <f t="shared" si="107"/>
        <v>107.96106557377048</v>
      </c>
      <c r="G61" s="3449">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2618</v>
      </c>
      <c r="B62" s="2630">
        <f t="shared" si="106"/>
        <v>122.57204301075269</v>
      </c>
      <c r="C62" s="2630">
        <f t="shared" si="106"/>
        <v>123.4932735426009</v>
      </c>
      <c r="D62" s="2630">
        <f t="shared" si="76"/>
        <v>123.4932735426009</v>
      </c>
      <c r="E62" s="2630">
        <f t="shared" si="107"/>
        <v>129.82233502538071</v>
      </c>
      <c r="F62" s="2630">
        <f t="shared" si="107"/>
        <v>107.39446721311475</v>
      </c>
      <c r="G62" s="3450">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2619</v>
      </c>
      <c r="B63" s="2660">
        <v>121</v>
      </c>
      <c r="C63" s="2660">
        <v>122</v>
      </c>
      <c r="D63" s="2660">
        <f t="shared" si="76"/>
        <v>122</v>
      </c>
      <c r="E63" s="2660">
        <v>124</v>
      </c>
      <c r="F63" s="2661">
        <v>107</v>
      </c>
      <c r="G63" s="3448">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2620</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49">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2621</v>
      </c>
      <c r="B65" s="2630">
        <f t="shared" si="110"/>
        <v>116.99099099099099</v>
      </c>
      <c r="C65" s="2630">
        <f t="shared" si="110"/>
        <v>118.84848484848486</v>
      </c>
      <c r="D65" s="2630">
        <f t="shared" si="76"/>
        <v>118.84848484848486</v>
      </c>
      <c r="E65" s="2630">
        <f t="shared" si="111"/>
        <v>117.60960960960961</v>
      </c>
      <c r="F65" s="2630">
        <f t="shared" si="111"/>
        <v>104</v>
      </c>
      <c r="G65" s="3449">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2622</v>
      </c>
      <c r="B66" s="2663">
        <f t="shared" si="110"/>
        <v>112.48648648648648</v>
      </c>
      <c r="C66" s="2663">
        <f t="shared" si="110"/>
        <v>115.21212121212122</v>
      </c>
      <c r="D66" s="2663">
        <f t="shared" si="76"/>
        <v>115.21212121212122</v>
      </c>
      <c r="E66" s="2663">
        <f t="shared" si="111"/>
        <v>110.4024024024024</v>
      </c>
      <c r="F66" s="2663">
        <f t="shared" si="111"/>
        <v>104</v>
      </c>
      <c r="G66" s="3450">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2623</v>
      </c>
      <c r="B67" s="2681">
        <v>111</v>
      </c>
      <c r="C67" s="2681">
        <v>114</v>
      </c>
      <c r="D67" s="2681">
        <f t="shared" si="76"/>
        <v>114</v>
      </c>
      <c r="E67" s="2681">
        <v>108</v>
      </c>
      <c r="F67" s="2682">
        <v>104</v>
      </c>
      <c r="G67" s="3448">
        <v>2003</v>
      </c>
      <c r="H67" s="2671">
        <v>4</v>
      </c>
      <c r="I67" s="2683"/>
      <c r="J67" s="2683"/>
      <c r="K67" s="2683"/>
      <c r="L67" s="2683"/>
      <c r="N67" s="2684"/>
      <c r="O67" s="2683"/>
      <c r="P67" s="2683"/>
      <c r="Q67" s="2683"/>
      <c r="S67" s="2684"/>
      <c r="T67" s="2683"/>
      <c r="U67" s="2683"/>
      <c r="V67" s="2683"/>
      <c r="X67" s="2675"/>
      <c r="Y67" s="2675"/>
      <c r="Z67" s="2675"/>
    </row>
    <row r="68" spans="1:26">
      <c r="A68" s="2617" t="s">
        <v>2624</v>
      </c>
      <c r="B68" s="2685">
        <f t="shared" ref="B68:C70" si="112">B69+(B$67-B$71)/4</f>
        <v>109.75</v>
      </c>
      <c r="C68" s="2685">
        <f t="shared" si="112"/>
        <v>112.25</v>
      </c>
      <c r="D68" s="2685">
        <f t="shared" si="76"/>
        <v>112.25</v>
      </c>
      <c r="E68" s="2685">
        <f t="shared" ref="E68:F70" si="113">E69+(E$67-E$71)/4</f>
        <v>107.25</v>
      </c>
      <c r="F68" s="2685">
        <f t="shared" si="113"/>
        <v>103.5</v>
      </c>
      <c r="G68" s="3449">
        <v>2003</v>
      </c>
      <c r="H68" s="2641">
        <v>3</v>
      </c>
      <c r="I68" s="2683"/>
      <c r="J68" s="2683"/>
      <c r="K68" s="2683"/>
      <c r="L68" s="2683"/>
      <c r="X68" s="2675"/>
      <c r="Y68" s="2675"/>
      <c r="Z68" s="2675"/>
    </row>
    <row r="69" spans="1:26">
      <c r="A69" s="2617" t="s">
        <v>2625</v>
      </c>
      <c r="B69" s="2685">
        <f t="shared" si="112"/>
        <v>108.5</v>
      </c>
      <c r="C69" s="2685">
        <f t="shared" si="112"/>
        <v>110.5</v>
      </c>
      <c r="D69" s="2685">
        <f t="shared" si="76"/>
        <v>110.5</v>
      </c>
      <c r="E69" s="2685">
        <f t="shared" si="113"/>
        <v>106.5</v>
      </c>
      <c r="F69" s="2685">
        <f t="shared" si="113"/>
        <v>103</v>
      </c>
      <c r="G69" s="3449">
        <v>2003</v>
      </c>
      <c r="H69" s="2621">
        <v>2</v>
      </c>
      <c r="I69" s="2683"/>
      <c r="J69" s="2683"/>
      <c r="K69" s="2683"/>
      <c r="L69" s="2683"/>
      <c r="X69" s="2675"/>
      <c r="Y69" s="2675"/>
      <c r="Z69" s="2675"/>
    </row>
    <row r="70" spans="1:26" ht="13.5" thickBot="1">
      <c r="A70" s="2617" t="s">
        <v>2626</v>
      </c>
      <c r="B70" s="2685">
        <f t="shared" si="112"/>
        <v>107.25</v>
      </c>
      <c r="C70" s="2685">
        <f t="shared" si="112"/>
        <v>108.75</v>
      </c>
      <c r="D70" s="2685">
        <f t="shared" si="76"/>
        <v>108.75</v>
      </c>
      <c r="E70" s="2685">
        <f t="shared" si="113"/>
        <v>105.75</v>
      </c>
      <c r="F70" s="2685">
        <f t="shared" si="113"/>
        <v>102.5</v>
      </c>
      <c r="G70" s="3450">
        <v>2003</v>
      </c>
      <c r="H70" s="2686">
        <v>1</v>
      </c>
      <c r="I70" s="2683"/>
      <c r="J70" s="2683"/>
      <c r="K70" s="2683"/>
      <c r="L70" s="2683"/>
      <c r="S70" s="2625"/>
      <c r="T70" s="2626"/>
      <c r="U70" s="2626"/>
      <c r="X70" s="2675"/>
      <c r="Y70" s="2675"/>
      <c r="Z70" s="2675"/>
    </row>
    <row r="71" spans="1:26" ht="13.5" thickBot="1">
      <c r="A71" s="2617" t="s">
        <v>2627</v>
      </c>
      <c r="B71" s="2687">
        <v>106</v>
      </c>
      <c r="C71" s="2687">
        <v>107</v>
      </c>
      <c r="D71" s="2687">
        <f t="shared" si="76"/>
        <v>107</v>
      </c>
      <c r="E71" s="2687">
        <v>105</v>
      </c>
      <c r="F71" s="2688">
        <v>102</v>
      </c>
      <c r="G71" s="3448">
        <v>2002</v>
      </c>
      <c r="H71" s="2636">
        <v>4</v>
      </c>
      <c r="I71" s="2683"/>
      <c r="J71" s="2683"/>
      <c r="K71" s="2683"/>
      <c r="L71" s="2683"/>
      <c r="N71" s="2684"/>
      <c r="O71" s="2683"/>
      <c r="P71" s="2683"/>
      <c r="Q71" s="2683"/>
      <c r="S71" s="2684"/>
      <c r="T71" s="2683"/>
      <c r="U71" s="2683"/>
      <c r="V71" s="2683"/>
      <c r="X71" s="2675"/>
      <c r="Y71" s="2675"/>
      <c r="Z71" s="2675"/>
    </row>
    <row r="72" spans="1:26">
      <c r="A72" s="2617" t="s">
        <v>2628</v>
      </c>
      <c r="B72" s="2685">
        <f t="shared" ref="B72:C74" si="114">B73+(B$71-B$75)/4</f>
        <v>105</v>
      </c>
      <c r="C72" s="2685">
        <f t="shared" si="114"/>
        <v>106</v>
      </c>
      <c r="D72" s="2685">
        <f t="shared" si="76"/>
        <v>106</v>
      </c>
      <c r="E72" s="2685">
        <f t="shared" ref="E72:F74" si="115">E73+(E$71-E$75)/4</f>
        <v>104.5</v>
      </c>
      <c r="F72" s="2685">
        <f t="shared" si="115"/>
        <v>101.5</v>
      </c>
      <c r="G72" s="3449">
        <v>2002</v>
      </c>
      <c r="H72" s="2641">
        <v>3</v>
      </c>
      <c r="I72" s="2683"/>
      <c r="J72" s="2683"/>
      <c r="K72" s="2683"/>
      <c r="L72" s="2683"/>
      <c r="X72" s="2675"/>
      <c r="Y72" s="2675"/>
      <c r="Z72" s="2675"/>
    </row>
    <row r="73" spans="1:26">
      <c r="A73" s="2617" t="s">
        <v>2629</v>
      </c>
      <c r="B73" s="2685">
        <f t="shared" si="114"/>
        <v>104</v>
      </c>
      <c r="C73" s="2685">
        <f t="shared" si="114"/>
        <v>105</v>
      </c>
      <c r="D73" s="2685">
        <f t="shared" si="76"/>
        <v>105</v>
      </c>
      <c r="E73" s="2685">
        <f t="shared" si="115"/>
        <v>104</v>
      </c>
      <c r="F73" s="2685">
        <f t="shared" si="115"/>
        <v>101</v>
      </c>
      <c r="G73" s="3449">
        <v>2002</v>
      </c>
      <c r="H73" s="2621">
        <v>2</v>
      </c>
      <c r="I73" s="2683"/>
      <c r="J73" s="2683"/>
      <c r="K73" s="2683"/>
      <c r="L73" s="2683"/>
      <c r="X73" s="2675"/>
      <c r="Y73" s="2675"/>
      <c r="Z73" s="2675"/>
    </row>
    <row r="74" spans="1:26" s="2652" customFormat="1" ht="13.5" thickBot="1">
      <c r="A74" s="2648" t="s">
        <v>2630</v>
      </c>
      <c r="B74" s="2689">
        <f t="shared" si="114"/>
        <v>103</v>
      </c>
      <c r="C74" s="2689">
        <f t="shared" si="114"/>
        <v>104</v>
      </c>
      <c r="D74" s="2689">
        <f t="shared" si="76"/>
        <v>104</v>
      </c>
      <c r="E74" s="2689">
        <f t="shared" si="115"/>
        <v>103.5</v>
      </c>
      <c r="F74" s="2689">
        <f t="shared" si="115"/>
        <v>100.5</v>
      </c>
      <c r="G74" s="3450">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2631</v>
      </c>
      <c r="G77" s="2699"/>
      <c r="N77" s="2699"/>
      <c r="S77" s="2699"/>
    </row>
    <row r="78" spans="1:26" s="2698" customFormat="1">
      <c r="A78" s="2698" t="s">
        <v>2632</v>
      </c>
      <c r="G78" s="2699"/>
      <c r="N78" s="2699"/>
      <c r="S78" s="2699"/>
    </row>
    <row r="79" spans="1:26" s="2698" customFormat="1">
      <c r="A79" s="2698" t="s">
        <v>2633</v>
      </c>
      <c r="G79" s="2699"/>
      <c r="I79" s="2700"/>
      <c r="J79" s="2700"/>
      <c r="K79" s="2700"/>
      <c r="L79" s="2700"/>
      <c r="N79" s="2701"/>
      <c r="O79" s="2700"/>
      <c r="P79" s="2700"/>
      <c r="Q79" s="2700"/>
      <c r="S79" s="2701"/>
      <c r="T79" s="2700"/>
      <c r="U79" s="2700"/>
      <c r="V79" s="2700"/>
    </row>
    <row r="80" spans="1:26" s="2698" customFormat="1">
      <c r="A80" s="2698" t="s">
        <v>2634</v>
      </c>
      <c r="G80" s="2699"/>
      <c r="N80" s="2699"/>
      <c r="S80" s="2699"/>
    </row>
    <row r="87" spans="7:22" ht="13.5" thickBot="1"/>
    <row r="88" spans="7:22">
      <c r="G88" s="2624"/>
      <c r="S88" s="2702" t="s">
        <v>2635</v>
      </c>
      <c r="T88" s="2703" t="s">
        <v>2636</v>
      </c>
      <c r="U88" s="2703" t="s">
        <v>2637</v>
      </c>
      <c r="V88" s="2703" t="s">
        <v>2638</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国民信托有限公司：</v>
      </c>
    </row>
    <row r="4" spans="1:4" ht="37.5">
      <c r="A4" s="1777" t="str">
        <f>"受贵公司委托，我公司对"&amp;项目基本情况!K2&amp;项目基本情况!B9&amp;"进行了预评估。"</f>
        <v>受贵公司委托，我公司对四川省成都市青白江区景鸿路以东、绣川河以南出让国有建设用地使用权抵押价格进行了预评估。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集装箱物流投资开发有限公司使用的、位于四川省成都市青白江区景鸿路以东、绣川河以南出让国有建设用地使用权。根据《国有土地使用证》[]，估价对象（分摊）出让国有建设用地使用权面积为43369.49平方米。根据《建设工程规划许可证》[]、《出让合同》[]，估价对象规划建筑面积为86738.98平方米。</v>
      </c>
    </row>
    <row r="7" spans="1:4" ht="56.25">
      <c r="A7" s="1781" t="s">
        <v>2747</v>
      </c>
    </row>
    <row r="8" spans="1:4" ht="18.75">
      <c r="A8" s="1780" t="s">
        <v>1906</v>
      </c>
    </row>
    <row r="9" spans="1:4" ht="93.75">
      <c r="A9" s="1782" t="str">
        <f>IF(项目基本情况!B8="抵押",IF(项目基本情况!B5=项目基本情况!B6,定义!C51,定义!B51),定义!D51)</f>
        <v>成都集装箱物流投资开发有限公司拟使用四川省成都市青白江区景鸿路以东、绣川河以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2019年5月14日（评估专业人员勘察现场之日）</v>
      </c>
    </row>
    <row r="12" spans="1:4" ht="18.75">
      <c r="A12" s="1783" t="s">
        <v>2025</v>
      </c>
    </row>
    <row r="13" spans="1:4" ht="18.75">
      <c r="A13" s="1777" t="s">
        <v>2940</v>
      </c>
    </row>
    <row r="14" spans="1:4" ht="37.5">
      <c r="A14" s="1777" t="str">
        <f>"根据"&amp;项目基本情况!F12&amp;"，本次评估估价对象证载（地类）用途为"&amp;项目基本情况!B12&amp;"。"</f>
        <v>根据川（2018）青白江区不动产权第0036051号，本次评估估价对象证载（地类）用途为批发零售用地。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根据《国有土地使用证》[]，估价对象（分摊）出让国有建设用地使用权面积为43369.49平方米。根据《建设工程规划许可证》[]、《出让合同》[]，估价对象规划建筑面积为86738.98平方米。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本次估价对象为出让国有建设用地使用权，依据川（2018）青白江区不动产权第0036051号、，土地终止日期为商业2058年1月28日。截至估价期日，出让国有建设用地使用权剩余土地使用年限为。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5月14日，在规划利用条件下、设定土地开发程度为红线外“七通”、宗地内场地，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2948</v>
      </c>
      <c r="B1" s="3055"/>
      <c r="C1" s="3055"/>
      <c r="D1" s="3055"/>
      <c r="E1" s="3055"/>
      <c r="F1" s="3055"/>
    </row>
    <row r="2" spans="1:6" ht="14.25">
      <c r="A2" s="3056" t="s">
        <v>2943</v>
      </c>
      <c r="B2" s="3057" t="e">
        <f ca="1">SUMIF(B7:B14,"&lt;&gt;#ref!",B7:B14)</f>
        <v>#DIV/0!</v>
      </c>
      <c r="C2" s="3056" t="s">
        <v>2944</v>
      </c>
      <c r="D2" s="3055"/>
      <c r="E2" s="3055"/>
      <c r="F2" s="3055"/>
    </row>
    <row r="3" spans="1:6" ht="14.25">
      <c r="A3" s="3056" t="s">
        <v>2976</v>
      </c>
      <c r="B3" s="3057" t="e">
        <f ca="1">ROUND(B2*10000/E3,0)</f>
        <v>#DIV/0!</v>
      </c>
      <c r="C3" s="3056" t="s">
        <v>2078</v>
      </c>
      <c r="D3" s="3056" t="s">
        <v>2945</v>
      </c>
      <c r="E3" s="3057">
        <f ca="1">SUMIF(E7:E14,"&lt;&gt;#ref!",E7:E14)</f>
        <v>0</v>
      </c>
      <c r="F3" s="3055"/>
    </row>
    <row r="4" spans="1:6" ht="14.25">
      <c r="A4" s="3056" t="s">
        <v>2952</v>
      </c>
      <c r="B4" s="3057" t="e">
        <f ca="1">ROUND(B2*10000/E4,0)</f>
        <v>#DIV/0!</v>
      </c>
      <c r="C4" s="3056" t="s">
        <v>2078</v>
      </c>
      <c r="D4" s="3056" t="s">
        <v>2953</v>
      </c>
      <c r="E4" s="3057">
        <f ca="1">SUMIF(F7:F14,"&lt;&gt;#ref!",F7:F14)</f>
        <v>0</v>
      </c>
      <c r="F4" s="3055"/>
    </row>
    <row r="5" spans="1:6" ht="14.25">
      <c r="A5" s="3058"/>
      <c r="B5" s="1867"/>
      <c r="C5" s="1867"/>
      <c r="D5" s="1867"/>
      <c r="E5" s="1867"/>
      <c r="F5" s="3055"/>
    </row>
    <row r="6" spans="1:6" ht="28.5">
      <c r="A6" s="3059" t="s">
        <v>2949</v>
      </c>
      <c r="B6" s="3056" t="s">
        <v>2946</v>
      </c>
      <c r="C6" s="3057"/>
      <c r="D6" s="1867"/>
      <c r="E6" s="3056" t="s">
        <v>2947</v>
      </c>
      <c r="F6" s="3056" t="s">
        <v>2951</v>
      </c>
    </row>
    <row r="7" spans="1:6" ht="14.25">
      <c r="A7" s="260" t="s">
        <v>2950</v>
      </c>
      <c r="B7" s="3060" t="e">
        <f ca="1">SUMIF(INDIRECT("'"&amp;A7&amp;"'"&amp;"!A:A"),"总价",INDIRECT("'"&amp;A7&amp;"'"&amp;"!B:B"))</f>
        <v>#DIV/0!</v>
      </c>
      <c r="C7" s="3056" t="s">
        <v>2944</v>
      </c>
      <c r="D7" s="1867"/>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2944</v>
      </c>
      <c r="D8" s="1867"/>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2944</v>
      </c>
      <c r="D9" s="1867"/>
      <c r="E9" s="3061" t="e">
        <f t="shared" ca="1" si="1"/>
        <v>#REF!</v>
      </c>
      <c r="F9" s="3061" t="e">
        <f t="shared" ca="1" si="2"/>
        <v>#REF!</v>
      </c>
    </row>
    <row r="10" spans="1:6" ht="14.25">
      <c r="A10" s="260"/>
      <c r="B10" s="3060" t="e">
        <f t="shared" ca="1" si="0"/>
        <v>#REF!</v>
      </c>
      <c r="C10" s="3056" t="s">
        <v>2944</v>
      </c>
      <c r="D10" s="1867"/>
      <c r="E10" s="3061" t="e">
        <f t="shared" ca="1" si="1"/>
        <v>#REF!</v>
      </c>
      <c r="F10" s="3061" t="e">
        <f t="shared" ca="1" si="2"/>
        <v>#REF!</v>
      </c>
    </row>
    <row r="11" spans="1:6" ht="14.25">
      <c r="A11" s="260"/>
      <c r="B11" s="3060" t="e">
        <f t="shared" ca="1" si="0"/>
        <v>#REF!</v>
      </c>
      <c r="C11" s="3056" t="s">
        <v>2944</v>
      </c>
      <c r="D11" s="1867"/>
      <c r="E11" s="3061" t="e">
        <f t="shared" ca="1" si="1"/>
        <v>#REF!</v>
      </c>
      <c r="F11" s="3061" t="e">
        <f t="shared" ca="1" si="2"/>
        <v>#REF!</v>
      </c>
    </row>
    <row r="12" spans="1:6" ht="14.25">
      <c r="A12" s="260"/>
      <c r="B12" s="3060" t="e">
        <f t="shared" ca="1" si="0"/>
        <v>#REF!</v>
      </c>
      <c r="C12" s="3056" t="s">
        <v>2944</v>
      </c>
      <c r="D12" s="1867"/>
      <c r="E12" s="3061" t="e">
        <f t="shared" ca="1" si="1"/>
        <v>#REF!</v>
      </c>
      <c r="F12" s="3061" t="e">
        <f t="shared" ca="1" si="2"/>
        <v>#REF!</v>
      </c>
    </row>
    <row r="13" spans="1:6" ht="14.25">
      <c r="A13" s="260"/>
      <c r="B13" s="3060" t="e">
        <f t="shared" ca="1" si="0"/>
        <v>#REF!</v>
      </c>
      <c r="C13" s="3056" t="s">
        <v>2944</v>
      </c>
      <c r="D13" s="1867"/>
      <c r="E13" s="3061" t="e">
        <f t="shared" ca="1" si="1"/>
        <v>#REF!</v>
      </c>
      <c r="F13" s="3061" t="e">
        <f t="shared" ca="1" si="2"/>
        <v>#REF!</v>
      </c>
    </row>
    <row r="14" spans="1:6" ht="14.25">
      <c r="A14" s="3054"/>
      <c r="B14" s="3060" t="e">
        <f t="shared" ca="1" si="0"/>
        <v>#REF!</v>
      </c>
      <c r="C14" s="3056" t="s">
        <v>2944</v>
      </c>
      <c r="D14" s="1867"/>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49" t="s">
        <v>2374</v>
      </c>
      <c r="F1" s="2350">
        <f ca="1">J54</f>
        <v>-1.5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58" t="s">
        <v>2461</v>
      </c>
      <c r="E7" s="2452"/>
      <c r="F7" s="2453"/>
      <c r="G7" s="1579"/>
      <c r="H7" s="781">
        <v>1</v>
      </c>
      <c r="I7" s="782" t="s">
        <v>2458</v>
      </c>
      <c r="J7" s="53">
        <f ca="1">J8+J12+J14</f>
        <v>0</v>
      </c>
      <c r="K7" s="2458" t="s">
        <v>2461</v>
      </c>
      <c r="L7" s="2452"/>
      <c r="M7" s="2453"/>
    </row>
    <row r="8" spans="1:25" ht="18" customHeight="1">
      <c r="A8" s="1816" t="s">
        <v>1824</v>
      </c>
      <c r="B8" s="3404" t="s">
        <v>2463</v>
      </c>
      <c r="C8" s="1811">
        <f ca="1">ROUND(F8*F10*F9*(1-F11)/10000,0)</f>
        <v>0</v>
      </c>
      <c r="D8" s="1808" t="s">
        <v>2534</v>
      </c>
      <c r="E8" s="61" t="s">
        <v>637</v>
      </c>
      <c r="F8" s="785">
        <f ca="1">INDIRECT("'数据-取费表'!u"&amp;$G$1)</f>
        <v>0</v>
      </c>
      <c r="G8" s="1579"/>
      <c r="H8" s="2466" t="s">
        <v>1824</v>
      </c>
      <c r="I8" s="3404" t="s">
        <v>2463</v>
      </c>
      <c r="J8" s="783">
        <f ca="1">ROUND(M8*M10*M9*(1-M11)/10000,0)</f>
        <v>0</v>
      </c>
      <c r="K8" s="341" t="s">
        <v>2534</v>
      </c>
      <c r="L8" s="784" t="s">
        <v>1738</v>
      </c>
      <c r="M8" s="785">
        <f ca="1">INDIRECT("'数据-取费表'!z"&amp;$G$1)</f>
        <v>0</v>
      </c>
    </row>
    <row r="9" spans="1:25" ht="18" customHeight="1">
      <c r="A9" s="2462"/>
      <c r="B9" s="3405"/>
      <c r="C9" s="1812"/>
      <c r="D9" s="1809"/>
      <c r="E9" s="61" t="s">
        <v>638</v>
      </c>
      <c r="F9" s="785">
        <f ca="1">IF(INDIRECT("'数据-取费表'!ah"&amp;$G$1)="",INDIRECT("'数据-取费表'!k"&amp;$G$1),INDIRECT("'数据-取费表'!ah"&amp;$G$1))</f>
        <v>0</v>
      </c>
      <c r="G9" s="1579"/>
      <c r="H9" s="2451"/>
      <c r="I9" s="3405"/>
      <c r="J9" s="788"/>
      <c r="K9" s="789"/>
      <c r="L9" s="784" t="s">
        <v>1739</v>
      </c>
      <c r="M9" s="785">
        <f ca="1">F9</f>
        <v>0</v>
      </c>
    </row>
    <row r="10" spans="1:25" ht="18" customHeight="1">
      <c r="A10" s="2455"/>
      <c r="B10" s="3406"/>
      <c r="C10" s="1812"/>
      <c r="D10" s="1809"/>
      <c r="E10" s="61" t="s">
        <v>639</v>
      </c>
      <c r="F10" s="785">
        <f ca="1">INDIRECT("'数据-取费表'!ai"&amp;$G$1)</f>
        <v>0</v>
      </c>
      <c r="G10" s="1579"/>
      <c r="H10" s="2451"/>
      <c r="I10" s="3406"/>
      <c r="J10" s="788"/>
      <c r="K10" s="789"/>
      <c r="L10" s="784" t="s">
        <v>1740</v>
      </c>
      <c r="M10" s="785">
        <f ca="1">INDIRECT("'数据-取费表'!ai"&amp;$G$1)</f>
        <v>0</v>
      </c>
    </row>
    <row r="11" spans="1:25" ht="18" customHeight="1">
      <c r="A11" s="786"/>
      <c r="B11" s="3407"/>
      <c r="C11" s="1812"/>
      <c r="D11" s="1809"/>
      <c r="E11" s="61" t="s">
        <v>640</v>
      </c>
      <c r="F11" s="794">
        <f ca="1">INDIRECT("'数据-取费表'!w"&amp;$G$1)</f>
        <v>0</v>
      </c>
      <c r="G11" s="1579"/>
      <c r="H11" s="2467"/>
      <c r="I11" s="3406"/>
      <c r="J11" s="788"/>
      <c r="K11" s="789"/>
      <c r="L11" s="795" t="s">
        <v>1741</v>
      </c>
      <c r="M11" s="796">
        <f ca="1">INDIRECT("'数据-取费表'!ab"&amp;$G$1)</f>
        <v>0</v>
      </c>
    </row>
    <row r="12" spans="1:25" ht="18" customHeight="1">
      <c r="A12" s="1816" t="s">
        <v>1825</v>
      </c>
      <c r="B12" s="2456" t="s">
        <v>2459</v>
      </c>
      <c r="C12" s="799">
        <f ca="1">ROUND(IF(F12="押一",C8/12*F13,IF(F12="押二",C8/12*2*F13,IF(F12="押三",C8/12*3*F13,C13*F13))),0)</f>
        <v>0</v>
      </c>
      <c r="D12" s="2463" t="s">
        <v>2973</v>
      </c>
      <c r="E12" s="2460" t="s">
        <v>2464</v>
      </c>
      <c r="F12" s="2583"/>
      <c r="G12" s="1579"/>
      <c r="H12" s="2523" t="s">
        <v>1825</v>
      </c>
      <c r="I12" s="2528" t="s">
        <v>2459</v>
      </c>
      <c r="J12" s="783">
        <f ca="1">ROUND(IF(M12="押一",J8/12*M13,IF(M12="押二",J8/12*2*M13,IF(M12="押三",J8/12*3*M13,J13*M13))),0)</f>
        <v>0</v>
      </c>
      <c r="K12" s="2463" t="s">
        <v>2973</v>
      </c>
      <c r="L12" s="2460" t="s">
        <v>2464</v>
      </c>
      <c r="M12" s="2583"/>
    </row>
    <row r="13" spans="1:25" ht="18" customHeight="1">
      <c r="A13" s="790"/>
      <c r="B13" s="2457" t="s">
        <v>2573</v>
      </c>
      <c r="C13" s="2461"/>
      <c r="D13" s="789"/>
      <c r="E13" s="2460" t="s">
        <v>2456</v>
      </c>
      <c r="F13" s="796">
        <f ca="1">'数据-取费表'!B39</f>
        <v>1.4999999999999999E-2</v>
      </c>
      <c r="G13" s="1579"/>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9"/>
      <c r="H14" s="2513" t="s">
        <v>2467</v>
      </c>
      <c r="I14" s="2526" t="s">
        <v>2460</v>
      </c>
      <c r="J14" s="2527"/>
      <c r="K14" s="2502"/>
      <c r="L14" s="2503"/>
      <c r="M14" s="2516"/>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2.5000000000000001E-2</v>
      </c>
      <c r="G22" s="1580"/>
      <c r="H22" s="1818" t="s">
        <v>1850</v>
      </c>
      <c r="I22" s="1808" t="s">
        <v>668</v>
      </c>
      <c r="J22" s="54">
        <f ca="1">ROUND(M22*M23/10000,0)</f>
        <v>0</v>
      </c>
      <c r="K22" s="814" t="s">
        <v>669</v>
      </c>
      <c r="L22" s="784" t="s">
        <v>670</v>
      </c>
      <c r="M22" s="640">
        <f>'数据-取费表'!B52</f>
        <v>18</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0.03</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1.5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1.1000000000000001E-3</v>
      </c>
      <c r="D26" s="2533"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1"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2" t="s">
        <v>1883</v>
      </c>
      <c r="B31" s="2503" t="s">
        <v>2823</v>
      </c>
      <c r="C31" s="2506">
        <f ca="1">ROUND((C21+C22+C25+C28)/(1-F23-C26-C29-C30),0)</f>
        <v>0</v>
      </c>
      <c r="D31" s="2507"/>
      <c r="E31" s="2508"/>
      <c r="F31" s="2509"/>
      <c r="G31" s="1580"/>
      <c r="H31" s="823" t="s">
        <v>1872</v>
      </c>
      <c r="I31" s="2962"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49"/>
      <c r="F32" s="2453"/>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18</v>
      </c>
      <c r="G36" s="2048"/>
      <c r="H36" s="2051"/>
      <c r="I36" s="3456"/>
      <c r="J36" s="2065"/>
      <c r="K36" s="2066"/>
      <c r="L36" s="2065"/>
      <c r="M36" s="2065"/>
    </row>
    <row r="37" spans="1:18" ht="18" customHeight="1">
      <c r="A37" s="815"/>
      <c r="B37" s="793"/>
      <c r="C37" s="69"/>
      <c r="D37" s="816"/>
      <c r="E37" s="784" t="s">
        <v>674</v>
      </c>
      <c r="F37" s="785">
        <f ca="1">INDIRECT("'数据-取费表'!r"&amp;$G$1)</f>
        <v>0</v>
      </c>
      <c r="G37" s="2048"/>
      <c r="H37" s="2051"/>
      <c r="I37" s="345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2" t="s">
        <v>1879</v>
      </c>
      <c r="B40" s="2508" t="s">
        <v>666</v>
      </c>
      <c r="C40" s="2506">
        <f ca="1">ROUND(C7*F40,1)</f>
        <v>0</v>
      </c>
      <c r="D40" s="2507" t="s">
        <v>683</v>
      </c>
      <c r="E40" s="2508" t="s">
        <v>649</v>
      </c>
      <c r="F40" s="2504">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2" t="s">
        <v>2961</v>
      </c>
      <c r="F43" s="3073">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8">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4" t="s">
        <v>2964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0" t="s">
        <v>2343</v>
      </c>
      <c r="J47" s="2341"/>
      <c r="K47" s="2342"/>
      <c r="L47" s="3107" t="str">
        <f ca="1">IF(M48="住宅",0,IF(L49&gt;J52,L61,J61))</f>
        <v>0</v>
      </c>
      <c r="O47" s="2356" t="s">
        <v>2410</v>
      </c>
      <c r="P47" s="1579"/>
      <c r="Q47" s="1590"/>
      <c r="R47" s="1579"/>
    </row>
    <row r="48" spans="1:18" s="2045" customFormat="1" ht="18" customHeight="1" thickBot="1">
      <c r="A48" s="2070"/>
      <c r="C48" s="2073"/>
      <c r="D48" s="2074"/>
      <c r="E48" s="2074"/>
      <c r="F48" s="2075"/>
      <c r="G48" s="2076"/>
      <c r="I48" s="3097" t="s">
        <v>2344</v>
      </c>
      <c r="J48" s="2343"/>
      <c r="K48" s="3104" t="s">
        <v>2349</v>
      </c>
      <c r="L48" s="3108">
        <f ca="1">INDIRECT("'数据-取费表'!d"&amp;$G$1)</f>
        <v>0</v>
      </c>
      <c r="M48" s="3071" t="str">
        <f>IF(ISNUMBER(FIND("住宅",C1)),"住宅","非住宅")</f>
        <v>非住宅</v>
      </c>
      <c r="O48" s="2357" t="s">
        <v>2375</v>
      </c>
      <c r="P48" s="2358" t="s">
        <v>2376</v>
      </c>
      <c r="Q48" s="2359" t="s">
        <v>2377</v>
      </c>
      <c r="R48" s="2358" t="s">
        <v>2378</v>
      </c>
    </row>
    <row r="49" spans="1:18" s="2045" customFormat="1" ht="18" customHeight="1" thickBot="1">
      <c r="A49" s="2070"/>
      <c r="D49" s="2077"/>
      <c r="E49" s="2078"/>
      <c r="F49" s="2075"/>
      <c r="G49" s="2076"/>
      <c r="H49" s="2079"/>
      <c r="I49" s="3076" t="s">
        <v>2345</v>
      </c>
      <c r="J49" s="2344"/>
      <c r="K49" s="3105" t="s">
        <v>2351</v>
      </c>
      <c r="L49" s="1894">
        <f ca="1">INDIRECT("'数据-取费表'!f"&amp;$G$1)</f>
        <v>0</v>
      </c>
      <c r="O49" s="2360" t="s">
        <v>2379</v>
      </c>
      <c r="P49" s="2361" t="s">
        <v>2405</v>
      </c>
      <c r="Q49" s="2362">
        <f ca="1">C41+J31</f>
        <v>0</v>
      </c>
      <c r="R49" s="2361" t="s">
        <v>2380</v>
      </c>
    </row>
    <row r="50" spans="1:18" s="2045" customFormat="1" ht="18" customHeight="1" thickBot="1">
      <c r="A50" s="2070"/>
      <c r="D50" s="2080"/>
      <c r="E50" s="2080"/>
      <c r="F50" s="2074"/>
      <c r="G50" s="2081"/>
      <c r="H50" s="2079"/>
      <c r="I50" s="3076" t="s">
        <v>2346</v>
      </c>
      <c r="J50" s="2345"/>
      <c r="K50" s="3106" t="s">
        <v>2352</v>
      </c>
      <c r="L50" s="2346"/>
      <c r="O50" s="2360" t="s">
        <v>2381</v>
      </c>
      <c r="P50" s="2361" t="s">
        <v>2406</v>
      </c>
      <c r="Q50" s="2362" t="str">
        <f ca="1">J61</f>
        <v>0</v>
      </c>
      <c r="R50" s="2361" t="s">
        <v>2382</v>
      </c>
    </row>
    <row r="51" spans="1:18" s="2045" customFormat="1" ht="18" customHeight="1" thickBot="1">
      <c r="A51" s="2082"/>
      <c r="D51" s="2080"/>
      <c r="E51" s="2080"/>
      <c r="F51" s="2071"/>
      <c r="H51" s="2079"/>
      <c r="I51" s="3076" t="s">
        <v>2347</v>
      </c>
      <c r="J51" s="3101">
        <f>SUMPRODUCT((I64:I66=J48)*(J63:L63=J49)*(J64:L66))</f>
        <v>0</v>
      </c>
      <c r="K51" s="3106" t="s">
        <v>2353</v>
      </c>
      <c r="L51" s="2346"/>
      <c r="O51" s="2363" t="s">
        <v>2383</v>
      </c>
      <c r="P51" s="2361" t="s">
        <v>2407</v>
      </c>
      <c r="Q51" s="2362">
        <f ca="1">C31</f>
        <v>0</v>
      </c>
      <c r="R51" s="2361" t="s">
        <v>2380</v>
      </c>
    </row>
    <row r="52" spans="1:18" s="2045" customFormat="1" ht="18" customHeight="1" thickBot="1">
      <c r="A52" s="2082"/>
      <c r="F52" s="2071"/>
      <c r="I52" s="3098" t="s">
        <v>2348</v>
      </c>
      <c r="J52" s="3102">
        <f>IF(J50="",J51,J50+J51-YEAR('数据-取费表'!B3))</f>
        <v>0</v>
      </c>
      <c r="K52" s="3076" t="s">
        <v>2354</v>
      </c>
      <c r="L52" s="3109">
        <f ca="1">ROUND(-PV(INDIRECT("'数据-取费表'!h"&amp;$G$1),L49,(C40-C14*J36),0),0)</f>
        <v>0</v>
      </c>
      <c r="O52" s="2363" t="s">
        <v>2384</v>
      </c>
      <c r="P52" s="2361" t="s">
        <v>2385</v>
      </c>
      <c r="Q52" s="2364" t="e">
        <f ca="1">J59</f>
        <v>#VALUE!</v>
      </c>
      <c r="R52" s="2365"/>
    </row>
    <row r="53" spans="1:18" s="2045" customFormat="1" ht="18" customHeight="1" thickBot="1">
      <c r="A53" s="2082"/>
      <c r="F53" s="2071"/>
      <c r="I53" s="3099" t="s">
        <v>2421</v>
      </c>
      <c r="J53" s="2347"/>
      <c r="K53" s="3099" t="s">
        <v>2420</v>
      </c>
      <c r="L53" s="2347"/>
      <c r="O53" s="2363" t="s">
        <v>2386</v>
      </c>
      <c r="P53" s="2361" t="s">
        <v>2387</v>
      </c>
      <c r="Q53" s="2364">
        <f>J53</f>
        <v>0</v>
      </c>
      <c r="R53" s="2365"/>
    </row>
    <row r="54" spans="1:18" s="2045" customFormat="1" ht="29.25" thickBot="1">
      <c r="A54" s="2082"/>
      <c r="I54" s="3100" t="s">
        <v>2977</v>
      </c>
      <c r="J54" s="3103">
        <f ca="1">IF(M48="住宅",MAX(J52,L49-'数据-取费表'!B20),MIN(J52,L49-'数据-取费表'!B20))</f>
        <v>-1.5</v>
      </c>
      <c r="K54" s="3457"/>
      <c r="L54" s="3458"/>
      <c r="O54" s="2363" t="s">
        <v>2388</v>
      </c>
      <c r="P54" s="2361" t="s">
        <v>2389</v>
      </c>
      <c r="Q54" s="2362">
        <f ca="1">J54</f>
        <v>-1.5</v>
      </c>
      <c r="R54" s="2361"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2391</v>
      </c>
      <c r="P55" s="2361" t="s">
        <v>2408</v>
      </c>
      <c r="Q55" s="2362">
        <f ca="1">Q49+Q50</f>
        <v>0</v>
      </c>
      <c r="R55" s="2365" t="s">
        <v>2392</v>
      </c>
    </row>
    <row r="56" spans="1:18" s="2045" customFormat="1" ht="16.5" thickBot="1">
      <c r="A56" s="2082"/>
      <c r="B56" s="2083"/>
      <c r="C56" s="2083"/>
      <c r="I56" s="3112" t="s">
        <v>2355</v>
      </c>
      <c r="J56" s="3051" t="e">
        <f ca="1">ROUND(IF(J48="钢混",J58/J51,1-(1-2%)*(J51-J58)/J51),3)</f>
        <v>#VALUE!</v>
      </c>
      <c r="K56" s="3113" t="s">
        <v>2356</v>
      </c>
      <c r="L56" s="2348"/>
      <c r="O56" s="2366" t="s">
        <v>2411</v>
      </c>
      <c r="P56" s="1579"/>
      <c r="Q56" s="1590"/>
      <c r="R56" s="1579"/>
    </row>
    <row r="57" spans="1:18" s="2045" customFormat="1" ht="43.5" thickBot="1">
      <c r="A57" s="2082"/>
      <c r="B57" s="2083"/>
      <c r="C57" s="2083"/>
      <c r="I57" s="3114" t="s">
        <v>2357</v>
      </c>
      <c r="J57" s="3124" t="s">
        <v>1678</v>
      </c>
      <c r="K57" s="3076" t="s">
        <v>2362</v>
      </c>
      <c r="L57" s="1894">
        <f ca="1">IF(L49&lt;J52,"——",L49-J52)</f>
        <v>0</v>
      </c>
      <c r="O57" s="2357" t="s">
        <v>2375</v>
      </c>
      <c r="P57" s="2358" t="s">
        <v>2376</v>
      </c>
      <c r="Q57" s="2359" t="s">
        <v>2377</v>
      </c>
      <c r="R57" s="2358" t="s">
        <v>2378</v>
      </c>
    </row>
    <row r="58" spans="1:18" s="2045" customFormat="1" ht="29.25" thickBot="1">
      <c r="A58" s="2082"/>
      <c r="B58" s="2083"/>
      <c r="C58" s="2083"/>
      <c r="I58" s="3115" t="s">
        <v>2358</v>
      </c>
      <c r="J58" s="3116" t="str">
        <f ca="1">IF(OR(M48="住宅",J52&lt;L49,J57="是"),"——",J52-L49)</f>
        <v>——</v>
      </c>
      <c r="K58" s="3076" t="s">
        <v>2363</v>
      </c>
      <c r="L58" s="1894">
        <f ca="1">IF(L49&lt;J52,"——",IF(L56="比较法",L50,IF(L56="基准地价",L51,L52)))</f>
        <v>0</v>
      </c>
      <c r="O58" s="2360" t="s">
        <v>2379</v>
      </c>
      <c r="P58" s="2361" t="s">
        <v>2405</v>
      </c>
      <c r="Q58" s="2362">
        <f ca="1">C41+J31</f>
        <v>0</v>
      </c>
      <c r="R58" s="2361" t="s">
        <v>2380</v>
      </c>
    </row>
    <row r="59" spans="1:18" s="2045" customFormat="1" ht="29.25" thickBot="1">
      <c r="A59" s="2082"/>
      <c r="B59" s="2083"/>
      <c r="C59" s="2083"/>
      <c r="I59" s="3115" t="s">
        <v>2359</v>
      </c>
      <c r="J59" s="3052" t="e">
        <f ca="1">IF(J56&lt;0.4,0.4,J56)</f>
        <v>#VALUE!</v>
      </c>
      <c r="K59" s="3076" t="s">
        <v>2364</v>
      </c>
      <c r="L59" s="1894">
        <f ca="1">IF(ISERROR(POWER(1+L53,L48-L49)*(POWER(1+L53,L49)-1)/(POWER(1+L53,L48)-1)),0,POWER(1+L53,L48-L49)*(POWER(1+L53,L49)-1)/(POWER(1+L53,L48)-1))</f>
        <v>0</v>
      </c>
      <c r="O59" s="2360" t="s">
        <v>2381</v>
      </c>
      <c r="P59" s="2361" t="s">
        <v>2412</v>
      </c>
      <c r="Q59" s="2362" t="e">
        <f ca="1">L61</f>
        <v>#DIV/0!</v>
      </c>
      <c r="R59" s="2365" t="s">
        <v>2414</v>
      </c>
    </row>
    <row r="60" spans="1:18" s="2045" customFormat="1" ht="29.25" thickBot="1">
      <c r="A60" s="2082"/>
      <c r="B60" s="2083"/>
      <c r="C60" s="2083"/>
      <c r="I60" s="3115" t="s">
        <v>2360</v>
      </c>
      <c r="J60" s="3116" t="str">
        <f ca="1">IF(OR(M48="住宅",J52&lt;L49,J57="是"),"——",ROUND(C30*J59,0))</f>
        <v>——</v>
      </c>
      <c r="K60" s="3076" t="s">
        <v>2365</v>
      </c>
      <c r="L60" s="1894">
        <f ca="1">IF(ISERROR(POWER(1+L53,L48-J52)*(POWER(1+L53,J52)-1)/(POWER(1+L53,L48)-1)),0,POWER(1+L53,L48-J52)*(POWER(1+L53,J52)-1)/(POWER(1+L53,L48)-1))</f>
        <v>0</v>
      </c>
      <c r="O60" s="2363" t="s">
        <v>2383</v>
      </c>
      <c r="P60" s="2361" t="s">
        <v>2413</v>
      </c>
      <c r="Q60" s="2362">
        <f>IF(L56="比较法",L50,IF(L56="基准地价",L51,0))</f>
        <v>0</v>
      </c>
      <c r="R60" s="2361" t="s">
        <v>2380</v>
      </c>
    </row>
    <row r="61" spans="1:18" s="2045" customFormat="1" ht="15.75" thickBot="1">
      <c r="A61" s="2082"/>
      <c r="B61" s="2083"/>
      <c r="C61" s="2083"/>
      <c r="I61" s="3117" t="s">
        <v>2361</v>
      </c>
      <c r="J61" s="3118" t="str">
        <f ca="1">IF(OR(M48="住宅",J52&lt;L49,J57="是"),"0",ROUND(J60/(1+J53)^J54,0))</f>
        <v>0</v>
      </c>
      <c r="K61" s="3119" t="s">
        <v>2366</v>
      </c>
      <c r="L61" s="3118" t="e">
        <f ca="1">IF(OR(M48="住宅",L49&lt;J52),0,ROUND(L58*(L59/L60-1),0))</f>
        <v>#DIV/0!</v>
      </c>
      <c r="O61" s="2363" t="s">
        <v>2384</v>
      </c>
      <c r="P61" s="2361" t="s">
        <v>2393</v>
      </c>
      <c r="Q61" s="2364">
        <f>L53</f>
        <v>0</v>
      </c>
      <c r="R61" s="2365"/>
    </row>
    <row r="62" spans="1:18" s="2045" customFormat="1" ht="20.25" thickBot="1">
      <c r="A62" s="2082"/>
      <c r="B62" s="2083"/>
      <c r="C62" s="2083"/>
      <c r="K62" s="2072"/>
      <c r="O62" s="2363" t="s">
        <v>2386</v>
      </c>
      <c r="P62" s="2361" t="s">
        <v>2394</v>
      </c>
      <c r="Q62" s="2362">
        <f ca="1">L59</f>
        <v>0</v>
      </c>
      <c r="R62" s="2365" t="s">
        <v>2395</v>
      </c>
    </row>
    <row r="63" spans="1:18" s="2045" customFormat="1" ht="20.25" thickBot="1">
      <c r="A63" s="2082"/>
      <c r="B63" s="2083"/>
      <c r="C63" s="2083"/>
      <c r="I63" s="3120" t="s">
        <v>2367</v>
      </c>
      <c r="J63" s="3121" t="s">
        <v>2368</v>
      </c>
      <c r="K63" s="3121" t="s">
        <v>2369</v>
      </c>
      <c r="L63" s="3121" t="s">
        <v>2350</v>
      </c>
      <c r="M63" s="3122" t="s">
        <v>2941</v>
      </c>
      <c r="O63" s="2363" t="s">
        <v>2388</v>
      </c>
      <c r="P63" s="2361" t="s">
        <v>2396</v>
      </c>
      <c r="Q63" s="2362">
        <f ca="1">L60</f>
        <v>0</v>
      </c>
      <c r="R63" s="2365" t="s">
        <v>2397</v>
      </c>
    </row>
    <row r="64" spans="1:18" s="2045" customFormat="1" ht="15.75" thickBot="1">
      <c r="A64" s="2082"/>
      <c r="B64" s="2083"/>
      <c r="C64" s="2083"/>
      <c r="I64" s="3120" t="s">
        <v>2370</v>
      </c>
      <c r="J64" s="3121">
        <v>70</v>
      </c>
      <c r="K64" s="3121">
        <v>50</v>
      </c>
      <c r="L64" s="3121">
        <v>80</v>
      </c>
      <c r="M64" s="3123">
        <v>0.02</v>
      </c>
      <c r="O64" s="2360" t="s">
        <v>2391</v>
      </c>
      <c r="P64" s="2361" t="s">
        <v>2408</v>
      </c>
      <c r="Q64" s="2362" t="e">
        <f ca="1">Q58+Q59</f>
        <v>#DIV/0!</v>
      </c>
      <c r="R64" s="2365" t="s">
        <v>2392</v>
      </c>
    </row>
    <row r="65" spans="1:18" s="2045" customFormat="1" ht="16.5" thickBot="1">
      <c r="A65" s="2082"/>
      <c r="B65" s="2083"/>
      <c r="C65" s="2083"/>
      <c r="I65" s="3120" t="s">
        <v>2371</v>
      </c>
      <c r="J65" s="3121">
        <v>50</v>
      </c>
      <c r="K65" s="3121">
        <v>35</v>
      </c>
      <c r="L65" s="3121">
        <v>60</v>
      </c>
      <c r="M65" s="846">
        <v>0</v>
      </c>
      <c r="O65" s="2366" t="s">
        <v>2415</v>
      </c>
      <c r="P65" s="1579"/>
      <c r="Q65" s="1590"/>
      <c r="R65" s="1579"/>
    </row>
    <row r="66" spans="1:18" s="2045" customFormat="1" ht="15.75" thickBot="1">
      <c r="A66" s="2082"/>
      <c r="B66" s="2083"/>
      <c r="C66" s="2083"/>
      <c r="I66" s="3120" t="s">
        <v>2372</v>
      </c>
      <c r="J66" s="3121">
        <v>40</v>
      </c>
      <c r="K66" s="3121">
        <v>30</v>
      </c>
      <c r="L66" s="3121">
        <v>50</v>
      </c>
      <c r="M66" s="3123">
        <v>0.02</v>
      </c>
      <c r="O66" s="2357" t="s">
        <v>2375</v>
      </c>
      <c r="P66" s="2358" t="s">
        <v>2376</v>
      </c>
      <c r="Q66" s="2359" t="s">
        <v>2377</v>
      </c>
      <c r="R66" s="2358" t="s">
        <v>2378</v>
      </c>
    </row>
    <row r="67" spans="1:18" s="2045" customFormat="1" ht="15.75" thickBot="1">
      <c r="A67" s="2082"/>
      <c r="B67" s="2083"/>
      <c r="C67" s="2083"/>
      <c r="K67" s="2072"/>
      <c r="O67" s="2360" t="s">
        <v>2379</v>
      </c>
      <c r="P67" s="2361" t="s">
        <v>2405</v>
      </c>
      <c r="Q67" s="2362">
        <f ca="1">C41+J31</f>
        <v>0</v>
      </c>
      <c r="R67" s="2361" t="s">
        <v>2380</v>
      </c>
    </row>
    <row r="68" spans="1:18" s="2045" customFormat="1" ht="20.25" thickBot="1">
      <c r="A68" s="2082"/>
      <c r="B68" s="2083"/>
      <c r="C68" s="2083"/>
      <c r="K68" s="2072"/>
      <c r="O68" s="2360" t="s">
        <v>2381</v>
      </c>
      <c r="P68" s="2361" t="s">
        <v>2412</v>
      </c>
      <c r="Q68" s="2362" t="e">
        <f ca="1">L61</f>
        <v>#DIV/0!</v>
      </c>
      <c r="R68" s="2365" t="s">
        <v>2414</v>
      </c>
    </row>
    <row r="69" spans="1:18" s="2045" customFormat="1" ht="21.75" thickBot="1">
      <c r="A69" s="2082"/>
      <c r="B69" s="2083"/>
      <c r="C69" s="2083"/>
      <c r="K69" s="2072"/>
      <c r="O69" s="2363" t="s">
        <v>2383</v>
      </c>
      <c r="P69" s="2361" t="s">
        <v>2413</v>
      </c>
      <c r="Q69" s="2367">
        <f ca="1">L52</f>
        <v>0</v>
      </c>
      <c r="R69" s="2368" t="s">
        <v>2416</v>
      </c>
    </row>
    <row r="70" spans="1:18" s="2045" customFormat="1" ht="20.25" thickBot="1">
      <c r="A70" s="2082"/>
      <c r="B70" s="2083"/>
      <c r="C70" s="2083"/>
      <c r="K70" s="2072"/>
      <c r="O70" s="2363" t="s">
        <v>2384</v>
      </c>
      <c r="P70" s="2369" t="s">
        <v>2398</v>
      </c>
      <c r="Q70" s="2362">
        <f ca="1">ROUND(Q71-Q72*Q73,0)</f>
        <v>0</v>
      </c>
      <c r="R70" s="2365"/>
    </row>
    <row r="71" spans="1:18" s="2045" customFormat="1" ht="15.75" thickBot="1">
      <c r="A71" s="2082"/>
      <c r="B71" s="2083"/>
      <c r="C71" s="2083"/>
      <c r="K71" s="2072"/>
      <c r="O71" s="2363" t="s">
        <v>2399</v>
      </c>
      <c r="P71" s="2369" t="s">
        <v>2400</v>
      </c>
      <c r="Q71" s="2362">
        <f ca="1">C42</f>
        <v>0</v>
      </c>
      <c r="R71" s="2361" t="s">
        <v>2380</v>
      </c>
    </row>
    <row r="72" spans="1:18" s="2045" customFormat="1" ht="15.75" thickBot="1">
      <c r="A72" s="2082"/>
      <c r="B72" s="2083"/>
      <c r="C72" s="2083"/>
      <c r="K72" s="2072"/>
      <c r="O72" s="2363" t="s">
        <v>2401</v>
      </c>
      <c r="P72" s="2369" t="s">
        <v>2402</v>
      </c>
      <c r="Q72" s="2362">
        <f ca="1">C15</f>
        <v>0</v>
      </c>
      <c r="R72" s="2361" t="s">
        <v>2380</v>
      </c>
    </row>
    <row r="73" spans="1:18" s="2045" customFormat="1" ht="15.75" thickBot="1">
      <c r="A73" s="2082"/>
      <c r="B73" s="2083"/>
      <c r="C73" s="2083"/>
      <c r="K73" s="2072"/>
      <c r="O73" s="2363" t="s">
        <v>2403</v>
      </c>
      <c r="P73" s="2369" t="s">
        <v>2404</v>
      </c>
      <c r="Q73" s="2364">
        <f ca="1">F43</f>
        <v>0</v>
      </c>
      <c r="R73" s="2365"/>
    </row>
    <row r="74" spans="1:18" s="2045" customFormat="1" ht="15.75" thickBot="1">
      <c r="A74" s="2082"/>
      <c r="B74" s="2083"/>
      <c r="C74" s="2083"/>
      <c r="K74" s="2072"/>
      <c r="O74" s="2363" t="s">
        <v>2386</v>
      </c>
      <c r="P74" s="2361" t="s">
        <v>2393</v>
      </c>
      <c r="Q74" s="2364">
        <f>L53</f>
        <v>0</v>
      </c>
      <c r="R74" s="2365"/>
    </row>
    <row r="75" spans="1:18" s="2045" customFormat="1" ht="20.25" thickBot="1">
      <c r="A75" s="2082"/>
      <c r="B75" s="2083"/>
      <c r="C75" s="2083"/>
      <c r="K75" s="2072"/>
      <c r="O75" s="2363" t="s">
        <v>2388</v>
      </c>
      <c r="P75" s="2361" t="s">
        <v>2394</v>
      </c>
      <c r="Q75" s="2362">
        <f ca="1">L59</f>
        <v>0</v>
      </c>
      <c r="R75" s="2365" t="s">
        <v>2395</v>
      </c>
    </row>
    <row r="76" spans="1:18" s="2045" customFormat="1" ht="20.25" thickBot="1">
      <c r="A76" s="2082"/>
      <c r="B76" s="2083"/>
      <c r="C76" s="2083"/>
      <c r="K76" s="2072"/>
      <c r="O76" s="2363" t="s">
        <v>2417</v>
      </c>
      <c r="P76" s="2361" t="s">
        <v>2396</v>
      </c>
      <c r="Q76" s="2362">
        <f ca="1">L60</f>
        <v>0</v>
      </c>
      <c r="R76" s="2365" t="s">
        <v>2397</v>
      </c>
    </row>
    <row r="77" spans="1:18" s="2045" customFormat="1" ht="15.75" thickBot="1">
      <c r="A77" s="2082"/>
      <c r="B77" s="2083"/>
      <c r="C77" s="2083"/>
      <c r="K77" s="2072"/>
      <c r="O77" s="2360" t="s">
        <v>2391</v>
      </c>
      <c r="P77" s="2361" t="s">
        <v>2408</v>
      </c>
      <c r="Q77" s="2362" t="e">
        <f ca="1">Q67+Q68</f>
        <v>#DIV/0!</v>
      </c>
      <c r="R77" s="2365"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75" t="s">
        <v>2471</v>
      </c>
      <c r="B1" s="3476"/>
      <c r="C1" s="3477"/>
      <c r="D1" s="3478">
        <f>SUM(I10,I15,I20,I21,I23)</f>
        <v>0</v>
      </c>
      <c r="E1" s="3478"/>
      <c r="F1" s="3478"/>
      <c r="G1" s="3478"/>
      <c r="H1" s="3478"/>
      <c r="I1" s="3479"/>
    </row>
    <row r="2" spans="1:9">
      <c r="A2" s="3465" t="s">
        <v>2472</v>
      </c>
      <c r="B2" s="3466" t="s">
        <v>2473</v>
      </c>
      <c r="C2" s="3466"/>
      <c r="D2" s="2469" t="s">
        <v>2474</v>
      </c>
      <c r="E2" s="2469" t="s">
        <v>2475</v>
      </c>
      <c r="F2" s="2469" t="s">
        <v>2476</v>
      </c>
      <c r="G2" s="2469" t="s">
        <v>2477</v>
      </c>
      <c r="H2" s="2469" t="s">
        <v>2478</v>
      </c>
      <c r="I2" s="2470" t="s">
        <v>2479</v>
      </c>
    </row>
    <row r="3" spans="1:9">
      <c r="A3" s="3465"/>
      <c r="B3" s="3466" t="s">
        <v>2480</v>
      </c>
      <c r="C3" s="3466"/>
      <c r="D3" s="2471"/>
      <c r="E3" s="2469"/>
      <c r="F3" s="2472"/>
      <c r="G3" s="2472"/>
      <c r="H3" s="2473"/>
      <c r="I3" s="2474">
        <f>ROUND(D3*E3*F3*G3*H3/10000,0)</f>
        <v>0</v>
      </c>
    </row>
    <row r="4" spans="1:9">
      <c r="A4" s="3465"/>
      <c r="B4" s="3466" t="s">
        <v>2481</v>
      </c>
      <c r="C4" s="3466"/>
      <c r="D4" s="2471"/>
      <c r="E4" s="2469"/>
      <c r="F4" s="2472"/>
      <c r="G4" s="2472"/>
      <c r="H4" s="2473"/>
      <c r="I4" s="2474">
        <f t="shared" ref="I4:I9" si="0">ROUND(D4*E4*F4*G4*H4/10000,0)</f>
        <v>0</v>
      </c>
    </row>
    <row r="5" spans="1:9">
      <c r="A5" s="3465"/>
      <c r="B5" s="3466" t="s">
        <v>2482</v>
      </c>
      <c r="C5" s="3466"/>
      <c r="D5" s="2471"/>
      <c r="E5" s="2469"/>
      <c r="F5" s="2472"/>
      <c r="G5" s="2472"/>
      <c r="H5" s="2473"/>
      <c r="I5" s="2474">
        <f t="shared" si="0"/>
        <v>0</v>
      </c>
    </row>
    <row r="6" spans="1:9">
      <c r="A6" s="3465"/>
      <c r="B6" s="3466" t="s">
        <v>2483</v>
      </c>
      <c r="C6" s="3466"/>
      <c r="D6" s="2471"/>
      <c r="E6" s="2469"/>
      <c r="F6" s="2472"/>
      <c r="G6" s="2472"/>
      <c r="H6" s="2473"/>
      <c r="I6" s="2474">
        <f t="shared" si="0"/>
        <v>0</v>
      </c>
    </row>
    <row r="7" spans="1:9">
      <c r="A7" s="3465"/>
      <c r="B7" s="3466" t="s">
        <v>2484</v>
      </c>
      <c r="C7" s="3466"/>
      <c r="D7" s="2471"/>
      <c r="E7" s="2469"/>
      <c r="F7" s="2472"/>
      <c r="G7" s="2472"/>
      <c r="H7" s="2473"/>
      <c r="I7" s="2474">
        <f t="shared" si="0"/>
        <v>0</v>
      </c>
    </row>
    <row r="8" spans="1:9">
      <c r="A8" s="3465"/>
      <c r="B8" s="3466" t="s">
        <v>2485</v>
      </c>
      <c r="C8" s="3466"/>
      <c r="D8" s="2471"/>
      <c r="E8" s="2469"/>
      <c r="F8" s="2472"/>
      <c r="G8" s="2472"/>
      <c r="H8" s="2473"/>
      <c r="I8" s="2474">
        <f t="shared" si="0"/>
        <v>0</v>
      </c>
    </row>
    <row r="9" spans="1:9">
      <c r="A9" s="3465"/>
      <c r="B9" s="3466" t="s">
        <v>2486</v>
      </c>
      <c r="C9" s="3466"/>
      <c r="D9" s="2471"/>
      <c r="E9" s="2469"/>
      <c r="F9" s="2472"/>
      <c r="G9" s="2472"/>
      <c r="H9" s="2473"/>
      <c r="I9" s="2474">
        <f t="shared" si="0"/>
        <v>0</v>
      </c>
    </row>
    <row r="10" spans="1:9">
      <c r="A10" s="3465"/>
      <c r="B10" s="3467" t="s">
        <v>2487</v>
      </c>
      <c r="C10" s="3467"/>
      <c r="D10" s="2475">
        <v>527</v>
      </c>
      <c r="E10" s="2475" t="e">
        <f>ROUND(D1*10000/D10/H9,0)</f>
        <v>#DIV/0!</v>
      </c>
      <c r="F10" s="2476"/>
      <c r="G10" s="2476"/>
      <c r="H10" s="2477"/>
      <c r="I10" s="2478">
        <f>SUM(I3:I9)</f>
        <v>0</v>
      </c>
    </row>
    <row r="11" spans="1:9" ht="14.25">
      <c r="A11" s="3465" t="s">
        <v>2488</v>
      </c>
      <c r="B11" s="3466" t="s">
        <v>2489</v>
      </c>
      <c r="C11" s="3466"/>
      <c r="D11" s="2471" t="s">
        <v>2490</v>
      </c>
      <c r="E11" s="2471" t="s">
        <v>2491</v>
      </c>
      <c r="F11" s="2472" t="s">
        <v>2492</v>
      </c>
      <c r="G11" s="2472" t="s">
        <v>2493</v>
      </c>
      <c r="H11" s="2479" t="s">
        <v>2494</v>
      </c>
      <c r="I11" s="2470" t="s">
        <v>2495</v>
      </c>
    </row>
    <row r="12" spans="1:9">
      <c r="A12" s="3465"/>
      <c r="B12" s="3466" t="s">
        <v>2496</v>
      </c>
      <c r="C12" s="3466"/>
      <c r="D12" s="2471"/>
      <c r="E12" s="2471"/>
      <c r="F12" s="2472"/>
      <c r="G12" s="2473"/>
      <c r="H12" s="2480"/>
      <c r="I12" s="2470">
        <f>ROUND(D12*E12*F12*G12/10000,0)</f>
        <v>0</v>
      </c>
    </row>
    <row r="13" spans="1:9">
      <c r="A13" s="3465"/>
      <c r="B13" s="3466" t="s">
        <v>2497</v>
      </c>
      <c r="C13" s="3466"/>
      <c r="D13" s="2471"/>
      <c r="E13" s="2471"/>
      <c r="F13" s="2472"/>
      <c r="G13" s="2473"/>
      <c r="H13" s="2480"/>
      <c r="I13" s="2470">
        <f>ROUND(D13*E13*F13*G13/10000,0)</f>
        <v>0</v>
      </c>
    </row>
    <row r="14" spans="1:9">
      <c r="A14" s="3465"/>
      <c r="B14" s="3466" t="s">
        <v>2498</v>
      </c>
      <c r="C14" s="3466"/>
      <c r="D14" s="2471"/>
      <c r="E14" s="2471"/>
      <c r="F14" s="2472"/>
      <c r="G14" s="2473"/>
      <c r="H14" s="2480"/>
      <c r="I14" s="2470">
        <f>ROUND(D14*E14*F14*G14/10000,0)</f>
        <v>0</v>
      </c>
    </row>
    <row r="15" spans="1:9">
      <c r="A15" s="3465"/>
      <c r="B15" s="3467" t="s">
        <v>2487</v>
      </c>
      <c r="C15" s="3467"/>
      <c r="D15" s="2475"/>
      <c r="E15" s="2475">
        <f>SUM(E12:E14)</f>
        <v>0</v>
      </c>
      <c r="F15" s="2476"/>
      <c r="G15" s="2473"/>
      <c r="H15" s="2480"/>
      <c r="I15" s="2481">
        <f>SUM(I12:I14)</f>
        <v>0</v>
      </c>
    </row>
    <row r="16" spans="1:9" ht="24">
      <c r="A16" s="3465" t="s">
        <v>2499</v>
      </c>
      <c r="B16" s="3466" t="s">
        <v>2500</v>
      </c>
      <c r="C16" s="3466"/>
      <c r="D16" s="2471" t="s">
        <v>2501</v>
      </c>
      <c r="E16" s="2482" t="s">
        <v>2502</v>
      </c>
      <c r="F16" s="2472" t="s">
        <v>2503</v>
      </c>
      <c r="G16" s="2473" t="s">
        <v>2493</v>
      </c>
      <c r="H16" s="2479" t="s">
        <v>2494</v>
      </c>
      <c r="I16" s="2470" t="s">
        <v>2495</v>
      </c>
    </row>
    <row r="17" spans="1:9" ht="14.25">
      <c r="A17" s="3465"/>
      <c r="B17" s="3466" t="s">
        <v>2504</v>
      </c>
      <c r="C17" s="3466"/>
      <c r="D17" s="2471"/>
      <c r="E17" s="2471"/>
      <c r="F17" s="2472"/>
      <c r="G17" s="2473"/>
      <c r="H17" s="2483"/>
      <c r="I17" s="2484">
        <f>ROUND(D17*E17*F17*G17/10000,0)</f>
        <v>0</v>
      </c>
    </row>
    <row r="18" spans="1:9" ht="14.25">
      <c r="A18" s="3465"/>
      <c r="B18" s="3466" t="s">
        <v>2505</v>
      </c>
      <c r="C18" s="3466"/>
      <c r="D18" s="2471"/>
      <c r="E18" s="2471"/>
      <c r="F18" s="2472"/>
      <c r="G18" s="2473"/>
      <c r="H18" s="2483"/>
      <c r="I18" s="2484">
        <f>ROUND(D18*E18*F18*G18/10000,0)</f>
        <v>0</v>
      </c>
    </row>
    <row r="19" spans="1:9" ht="14.25">
      <c r="A19" s="3465"/>
      <c r="B19" s="3466" t="s">
        <v>2506</v>
      </c>
      <c r="C19" s="3466"/>
      <c r="D19" s="2471"/>
      <c r="E19" s="2471"/>
      <c r="F19" s="2472"/>
      <c r="G19" s="2473"/>
      <c r="H19" s="2483"/>
      <c r="I19" s="2484">
        <f>ROUND(D19*E19*F19*G19/10000,0)</f>
        <v>0</v>
      </c>
    </row>
    <row r="20" spans="1:9">
      <c r="A20" s="3465"/>
      <c r="B20" s="3467" t="s">
        <v>2487</v>
      </c>
      <c r="C20" s="3467"/>
      <c r="D20" s="2475">
        <f>SUM(D17:D19)</f>
        <v>0</v>
      </c>
      <c r="E20" s="2475"/>
      <c r="F20" s="2476"/>
      <c r="G20" s="2473"/>
      <c r="H20" s="2480"/>
      <c r="I20" s="2481">
        <f>SUM(I17:I19)</f>
        <v>0</v>
      </c>
    </row>
    <row r="21" spans="1:9">
      <c r="A21" s="3465" t="s">
        <v>2507</v>
      </c>
      <c r="B21" s="3468"/>
      <c r="C21" s="3468"/>
      <c r="D21" s="3468"/>
      <c r="E21" s="3468"/>
      <c r="F21" s="3468"/>
      <c r="G21" s="3468"/>
      <c r="H21" s="2485">
        <v>0.1</v>
      </c>
      <c r="I21" s="2478">
        <f>ROUND(I10*H21,0)</f>
        <v>0</v>
      </c>
    </row>
    <row r="22" spans="1:9" ht="14.25">
      <c r="A22" s="3469" t="s">
        <v>2508</v>
      </c>
      <c r="B22" s="3470"/>
      <c r="C22" s="3471"/>
      <c r="D22" s="2486" t="s">
        <v>2509</v>
      </c>
      <c r="E22" s="2486" t="s">
        <v>2510</v>
      </c>
      <c r="F22" s="2487" t="s">
        <v>2511</v>
      </c>
      <c r="G22" s="2487" t="s">
        <v>2512</v>
      </c>
      <c r="H22" s="2479" t="s">
        <v>2513</v>
      </c>
      <c r="I22" s="2470" t="s">
        <v>2514</v>
      </c>
    </row>
    <row r="23" spans="1:9" ht="14.25" thickBot="1">
      <c r="A23" s="3472"/>
      <c r="B23" s="3473"/>
      <c r="C23" s="3474"/>
      <c r="D23" s="2488"/>
      <c r="E23" s="2488"/>
      <c r="F23" s="2488"/>
      <c r="G23" s="2489"/>
      <c r="H23" s="2490"/>
      <c r="I23" s="2491">
        <f>ROUND(E23*D23*F23*(1-G23)/10000,0)</f>
        <v>0</v>
      </c>
    </row>
    <row r="26" spans="1:9">
      <c r="A26" s="2492" t="s">
        <v>2515</v>
      </c>
      <c r="B26" s="2492"/>
      <c r="C26" s="2492"/>
      <c r="D26" s="2492"/>
      <c r="E26" s="3462">
        <f>C27-C30-C31-C32</f>
        <v>0</v>
      </c>
      <c r="F26" s="3462"/>
      <c r="G26" s="3462"/>
      <c r="H26" s="2993" t="s">
        <v>2843</v>
      </c>
    </row>
    <row r="27" spans="1:9">
      <c r="A27" s="2493">
        <v>1</v>
      </c>
      <c r="B27" s="2494" t="s">
        <v>2516</v>
      </c>
      <c r="C27" s="2494"/>
      <c r="D27" s="2494"/>
      <c r="E27" s="3463"/>
      <c r="F27" s="3463"/>
      <c r="G27" s="3463"/>
    </row>
    <row r="28" spans="1:9">
      <c r="A28" s="2495" t="s">
        <v>2517</v>
      </c>
      <c r="B28" s="2494" t="s">
        <v>2518</v>
      </c>
      <c r="C28" s="2494"/>
      <c r="D28" s="2494"/>
      <c r="E28" s="3463"/>
      <c r="F28" s="3463"/>
      <c r="G28" s="3463"/>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464"/>
      <c r="F32" s="3464"/>
      <c r="G32" s="3464"/>
    </row>
    <row r="33" spans="1:7" hidden="1">
      <c r="A33" s="3459" t="s">
        <v>2526</v>
      </c>
      <c r="B33" s="3460"/>
      <c r="C33" s="3460"/>
      <c r="D33" s="3461"/>
      <c r="E33" s="3462"/>
      <c r="F33" s="3462"/>
      <c r="G33" s="3462"/>
    </row>
    <row r="34" spans="1:7" hidden="1">
      <c r="A34" s="2497">
        <v>1</v>
      </c>
      <c r="B34" s="2494" t="s">
        <v>2527</v>
      </c>
      <c r="C34" s="2494"/>
      <c r="D34" s="2494"/>
      <c r="E34" s="3463"/>
      <c r="F34" s="3463"/>
      <c r="G34" s="3463"/>
    </row>
    <row r="35" spans="1:7" hidden="1">
      <c r="A35" s="2497">
        <v>2</v>
      </c>
      <c r="B35" s="2494" t="s">
        <v>2528</v>
      </c>
      <c r="C35" s="2494"/>
      <c r="D35" s="2494"/>
      <c r="E35" s="3463"/>
      <c r="F35" s="3463"/>
      <c r="G35" s="3463"/>
    </row>
    <row r="36" spans="1:7" hidden="1">
      <c r="A36" s="2497">
        <v>3</v>
      </c>
      <c r="B36" s="2494" t="s">
        <v>2529</v>
      </c>
      <c r="C36" s="2494"/>
      <c r="D36" s="2494"/>
      <c r="E36" s="3463"/>
      <c r="F36" s="3463"/>
      <c r="G36" s="3463"/>
    </row>
    <row r="37" spans="1:7" hidden="1">
      <c r="A37" s="2497">
        <v>4</v>
      </c>
      <c r="B37" s="2494" t="s">
        <v>2530</v>
      </c>
      <c r="C37" s="2494"/>
      <c r="D37" s="2494"/>
      <c r="E37" s="3463"/>
      <c r="F37" s="3463"/>
      <c r="G37" s="3463"/>
    </row>
    <row r="38" spans="1:7" hidden="1">
      <c r="A38" s="3459" t="s">
        <v>2531</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C126" sqref="C126:F131"/>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1">
        <v>1</v>
      </c>
      <c r="B7" s="748" t="s">
        <v>609</v>
      </c>
      <c r="C7" s="749">
        <f>C8+C9</f>
        <v>0</v>
      </c>
      <c r="D7" s="749"/>
      <c r="E7" s="750"/>
      <c r="F7" s="750"/>
      <c r="G7" s="2441"/>
    </row>
    <row r="8" spans="1:25" s="2169" customFormat="1" ht="13.5" customHeight="1">
      <c r="A8" s="2431" t="s">
        <v>2440</v>
      </c>
      <c r="B8" s="2434" t="s">
        <v>2442</v>
      </c>
      <c r="C8" s="2435"/>
      <c r="D8" s="749"/>
      <c r="E8" s="750"/>
      <c r="F8" s="750"/>
      <c r="G8" s="751"/>
    </row>
    <row r="9" spans="1:25" s="2169" customFormat="1" ht="13.5" customHeight="1">
      <c r="A9" s="2431" t="s">
        <v>2441</v>
      </c>
      <c r="B9" s="2434" t="s">
        <v>2443</v>
      </c>
      <c r="C9" s="2435"/>
      <c r="D9" s="749"/>
      <c r="E9" s="750"/>
      <c r="F9" s="750"/>
      <c r="G9" s="751"/>
    </row>
    <row r="10" spans="1:25" s="2169" customFormat="1" ht="36">
      <c r="A10" s="2431">
        <v>2</v>
      </c>
      <c r="B10" s="748" t="s">
        <v>613</v>
      </c>
      <c r="C10" s="749">
        <f>C11+C14+C15</f>
        <v>0</v>
      </c>
      <c r="D10" s="760">
        <f>'数据-汇总表'!E3</f>
        <v>86738.98</v>
      </c>
      <c r="E10" s="749">
        <f>'数据-取费表'!B31</f>
        <v>200</v>
      </c>
      <c r="F10" s="761"/>
      <c r="G10" s="759" t="s">
        <v>614</v>
      </c>
    </row>
    <row r="11" spans="1:25" s="2169" customFormat="1" ht="13.5" customHeight="1">
      <c r="A11" s="2431" t="s">
        <v>2440</v>
      </c>
      <c r="B11" s="752" t="s">
        <v>610</v>
      </c>
      <c r="C11" s="753">
        <f>'数据-取费表'!B29</f>
        <v>0</v>
      </c>
      <c r="D11" s="754"/>
      <c r="E11" s="753"/>
      <c r="F11" s="755"/>
      <c r="G11" s="2440" t="s">
        <v>2451</v>
      </c>
    </row>
    <row r="12" spans="1:25" s="2169" customFormat="1" ht="13.5" customHeight="1">
      <c r="A12" s="2438" t="s">
        <v>2448</v>
      </c>
      <c r="B12" s="756" t="s">
        <v>611</v>
      </c>
      <c r="C12" s="757">
        <f>ROUND(D12*E12/10000,0)</f>
        <v>0</v>
      </c>
      <c r="D12" s="758">
        <f>'数据-汇总表'!E5</f>
        <v>0</v>
      </c>
      <c r="E12" s="757">
        <f>'数据-取费表'!B27</f>
        <v>120</v>
      </c>
      <c r="F12" s="755"/>
      <c r="G12" s="759"/>
    </row>
    <row r="13" spans="1:25" s="2169" customFormat="1" ht="13.5" customHeight="1">
      <c r="A13" s="2438" t="s">
        <v>2447</v>
      </c>
      <c r="B13" s="756" t="s">
        <v>612</v>
      </c>
      <c r="C13" s="757">
        <f>ROUND(D13*E13/10000,0)</f>
        <v>1041</v>
      </c>
      <c r="D13" s="758">
        <f>'数据-汇总表'!E6</f>
        <v>86738.98</v>
      </c>
      <c r="E13" s="757">
        <f>'数据-取费表'!B28</f>
        <v>120</v>
      </c>
      <c r="F13" s="755"/>
      <c r="G13" s="759"/>
    </row>
    <row r="14" spans="1:25" s="2169" customFormat="1" ht="13.5" customHeight="1">
      <c r="A14" s="2431" t="s">
        <v>2441</v>
      </c>
      <c r="B14" s="2437" t="s">
        <v>2444</v>
      </c>
      <c r="C14" s="2435"/>
      <c r="D14" s="758"/>
      <c r="E14" s="757"/>
      <c r="F14" s="2436"/>
      <c r="G14" s="2439" t="s">
        <v>2449</v>
      </c>
    </row>
    <row r="15" spans="1:25" s="2169" customFormat="1" ht="13.5" customHeight="1">
      <c r="A15" s="2431" t="s">
        <v>2446</v>
      </c>
      <c r="B15" s="2437" t="s">
        <v>2445</v>
      </c>
      <c r="C15" s="2435"/>
      <c r="D15" s="758"/>
      <c r="E15" s="757"/>
      <c r="F15" s="2436"/>
      <c r="G15" s="2439" t="s">
        <v>2450</v>
      </c>
    </row>
    <row r="16" spans="1:25" s="2170" customFormat="1" ht="48">
      <c r="A16" s="2431">
        <v>3</v>
      </c>
      <c r="B16" s="748" t="s">
        <v>615</v>
      </c>
      <c r="C16" s="2435"/>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2">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1">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1">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1">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1">
        <v>9</v>
      </c>
      <c r="B22" s="748" t="s">
        <v>625</v>
      </c>
      <c r="C22" s="749">
        <f ca="1">ROUND(C21*F22,0)</f>
        <v>0</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3">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5" t="s">
        <v>719</v>
      </c>
      <c r="C1" s="2586" t="s">
        <v>720</v>
      </c>
      <c r="D1" s="2587"/>
      <c r="E1" s="2588"/>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4"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3" t="s">
        <v>522</v>
      </c>
      <c r="D4" s="3384"/>
      <c r="E4" s="3413" t="s">
        <v>523</v>
      </c>
      <c r="F4" s="3414"/>
      <c r="G4" s="3383" t="s">
        <v>524</v>
      </c>
      <c r="H4" s="3384"/>
      <c r="I4" s="3383" t="s">
        <v>525</v>
      </c>
      <c r="J4" s="3384"/>
      <c r="K4" s="853" t="s">
        <v>526</v>
      </c>
      <c r="L4" s="2119"/>
      <c r="M4" s="2120"/>
      <c r="N4" s="2120"/>
      <c r="O4" s="2120"/>
      <c r="P4" s="3385" t="s">
        <v>527</v>
      </c>
      <c r="Q4" s="3386"/>
      <c r="R4" s="3371" t="s">
        <v>523</v>
      </c>
      <c r="S4" s="3372"/>
      <c r="T4" s="3371" t="s">
        <v>524</v>
      </c>
      <c r="U4" s="3372"/>
      <c r="V4" s="3391" t="s">
        <v>525</v>
      </c>
      <c r="W4" s="3391"/>
      <c r="X4" s="1554"/>
      <c r="Y4" s="3371" t="s">
        <v>527</v>
      </c>
      <c r="Z4" s="3372"/>
      <c r="AA4" s="3366" t="s">
        <v>523</v>
      </c>
      <c r="AB4" s="3366" t="s">
        <v>524</v>
      </c>
      <c r="AC4" s="3366" t="s">
        <v>525</v>
      </c>
    </row>
    <row r="5" spans="1:29" ht="15">
      <c r="A5" s="515"/>
      <c r="B5" s="516"/>
      <c r="C5" s="3394" t="s">
        <v>2928</v>
      </c>
      <c r="D5" s="3395"/>
      <c r="E5" s="3415" t="s">
        <v>2929</v>
      </c>
      <c r="F5" s="3416"/>
      <c r="G5" s="3394" t="s">
        <v>2930</v>
      </c>
      <c r="H5" s="3395"/>
      <c r="I5" s="3394" t="s">
        <v>2931</v>
      </c>
      <c r="J5" s="3395"/>
      <c r="K5" s="854"/>
      <c r="L5" s="2119"/>
      <c r="M5" s="2120"/>
      <c r="N5" s="2120"/>
      <c r="O5" s="2120"/>
      <c r="P5" s="3387"/>
      <c r="Q5" s="3388"/>
      <c r="R5" s="3373"/>
      <c r="S5" s="3374"/>
      <c r="T5" s="3373"/>
      <c r="U5" s="3374"/>
      <c r="V5" s="3391"/>
      <c r="W5" s="3391"/>
      <c r="X5" s="1554"/>
      <c r="Y5" s="3373"/>
      <c r="Z5" s="3374"/>
      <c r="AA5" s="3367"/>
      <c r="AB5" s="3367"/>
      <c r="AC5" s="3367"/>
    </row>
    <row r="6" spans="1:29" ht="15.75" thickBot="1">
      <c r="A6" s="517"/>
      <c r="B6" s="518"/>
      <c r="C6" s="3392" t="s">
        <v>2932</v>
      </c>
      <c r="D6" s="3393"/>
      <c r="E6" s="3417" t="s">
        <v>2932</v>
      </c>
      <c r="F6" s="3418"/>
      <c r="G6" s="3392" t="s">
        <v>2932</v>
      </c>
      <c r="H6" s="3393"/>
      <c r="I6" s="3392" t="s">
        <v>2932</v>
      </c>
      <c r="J6" s="3393"/>
      <c r="K6" s="854" t="s">
        <v>528</v>
      </c>
      <c r="L6" s="2119"/>
      <c r="M6" s="2120"/>
      <c r="N6" s="2120"/>
      <c r="O6" s="2120"/>
      <c r="P6" s="3389"/>
      <c r="Q6" s="3390"/>
      <c r="R6" s="3373"/>
      <c r="S6" s="3374"/>
      <c r="T6" s="3375"/>
      <c r="U6" s="3376"/>
      <c r="V6" s="3391"/>
      <c r="W6" s="3391"/>
      <c r="X6" s="1554"/>
      <c r="Y6" s="3375"/>
      <c r="Z6" s="3376"/>
      <c r="AA6" s="3368"/>
      <c r="AB6" s="3368"/>
      <c r="AC6" s="3368"/>
    </row>
    <row r="7" spans="1:29" s="1216" customFormat="1" ht="15.75" thickBot="1">
      <c r="A7" s="2865"/>
      <c r="B7" s="2872" t="s">
        <v>529</v>
      </c>
      <c r="C7" s="519">
        <f>'数据-取费表'!B2</f>
        <v>43599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9" t="s">
        <v>530</v>
      </c>
      <c r="Q7" s="3378"/>
      <c r="R7" s="1555" t="s">
        <v>13</v>
      </c>
      <c r="S7" s="1556">
        <f t="shared" ref="S7:S15" si="0">F7</f>
        <v>0</v>
      </c>
      <c r="T7" s="1555" t="s">
        <v>13</v>
      </c>
      <c r="U7" s="1556">
        <f t="shared" ref="U7:U15" si="1">H7</f>
        <v>0</v>
      </c>
      <c r="V7" s="1555" t="s">
        <v>13</v>
      </c>
      <c r="W7" s="1556">
        <f t="shared" ref="W7:W15" si="2">J7</f>
        <v>0</v>
      </c>
      <c r="X7" s="1557"/>
      <c r="Y7" s="3369" t="s">
        <v>530</v>
      </c>
      <c r="Z7" s="3370"/>
      <c r="AA7" s="1558" t="e">
        <f>D7/F7</f>
        <v>#DIV/0!</v>
      </c>
      <c r="AB7" s="1558" t="e">
        <f>D7/H7</f>
        <v>#DIV/0!</v>
      </c>
      <c r="AC7" s="1558" t="e">
        <f>D7/J7</f>
        <v>#DIV/0!</v>
      </c>
    </row>
    <row r="8" spans="1:29" s="1216" customFormat="1" ht="15.7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9" t="s">
        <v>533</v>
      </c>
      <c r="Q8" s="3370"/>
      <c r="R8" s="1555" t="s">
        <v>13</v>
      </c>
      <c r="S8" s="1556">
        <f t="shared" si="0"/>
        <v>0</v>
      </c>
      <c r="T8" s="1555" t="s">
        <v>13</v>
      </c>
      <c r="U8" s="1556">
        <f t="shared" si="1"/>
        <v>0</v>
      </c>
      <c r="V8" s="1555" t="s">
        <v>13</v>
      </c>
      <c r="W8" s="1556">
        <f t="shared" si="2"/>
        <v>0</v>
      </c>
      <c r="X8" s="1557"/>
      <c r="Y8" s="3369" t="s">
        <v>533</v>
      </c>
      <c r="Z8" s="3370"/>
      <c r="AA8" s="1558" t="e">
        <f t="shared" ref="AA8:AA46" si="3">D8/F8</f>
        <v>#DIV/0!</v>
      </c>
      <c r="AB8" s="1558" t="e">
        <f t="shared" ref="AB8:AB46" si="4">D8/H8</f>
        <v>#DIV/0!</v>
      </c>
      <c r="AC8" s="1558" t="e">
        <f t="shared" ref="AC8:AC46" si="5">D8/J8</f>
        <v>#DIV/0!</v>
      </c>
    </row>
    <row r="9" spans="1:29" s="1216" customFormat="1" ht="15">
      <c r="A9" s="2867"/>
      <c r="B9" s="2874"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7" t="s">
        <v>535</v>
      </c>
      <c r="Q9" s="1147" t="str">
        <f t="shared" ref="Q9:Q15" si="6">B9</f>
        <v>用途</v>
      </c>
      <c r="R9" s="1555" t="s">
        <v>8</v>
      </c>
      <c r="S9" s="1556">
        <f t="shared" si="0"/>
        <v>100</v>
      </c>
      <c r="T9" s="1555" t="s">
        <v>8</v>
      </c>
      <c r="U9" s="1556">
        <f t="shared" si="1"/>
        <v>100</v>
      </c>
      <c r="V9" s="1555" t="s">
        <v>8</v>
      </c>
      <c r="W9" s="1556">
        <f t="shared" si="2"/>
        <v>100</v>
      </c>
      <c r="X9" s="1557"/>
      <c r="Y9" s="3334"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7"/>
      <c r="Q10" s="1147" t="str">
        <f t="shared" si="6"/>
        <v>土地使用年限（年）</v>
      </c>
      <c r="R10" s="1555" t="s">
        <v>8</v>
      </c>
      <c r="S10" s="1556">
        <f t="shared" si="0"/>
        <v>100</v>
      </c>
      <c r="T10" s="1555" t="s">
        <v>8</v>
      </c>
      <c r="U10" s="1556">
        <f t="shared" si="1"/>
        <v>100</v>
      </c>
      <c r="V10" s="1555" t="s">
        <v>8</v>
      </c>
      <c r="W10" s="1556">
        <f t="shared" si="2"/>
        <v>100</v>
      </c>
      <c r="X10" s="1557"/>
      <c r="Y10" s="3334"/>
      <c r="Z10" s="1146" t="str">
        <f t="shared" si="7"/>
        <v>土地使用年限（年）</v>
      </c>
      <c r="AA10" s="1558">
        <f t="shared" si="3"/>
        <v>1</v>
      </c>
      <c r="AB10" s="1558">
        <f t="shared" si="4"/>
        <v>1</v>
      </c>
      <c r="AC10" s="1558">
        <f t="shared" si="5"/>
        <v>1</v>
      </c>
    </row>
    <row r="11" spans="1:29" ht="15">
      <c r="A11" s="2869"/>
      <c r="B11" s="2873"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7"/>
      <c r="Q11" s="1147" t="str">
        <f t="shared" si="6"/>
        <v>容积率</v>
      </c>
      <c r="R11" s="1555" t="s">
        <v>11</v>
      </c>
      <c r="S11" s="1556" t="e">
        <f t="shared" si="0"/>
        <v>#N/A</v>
      </c>
      <c r="T11" s="1555" t="s">
        <v>11</v>
      </c>
      <c r="U11" s="1556" t="e">
        <f t="shared" si="1"/>
        <v>#N/A</v>
      </c>
      <c r="V11" s="1555" t="s">
        <v>11</v>
      </c>
      <c r="W11" s="1556" t="e">
        <f t="shared" si="2"/>
        <v>#N/A</v>
      </c>
      <c r="X11" s="1557"/>
      <c r="Y11" s="3334"/>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7"/>
      <c r="Q12" s="1147">
        <f t="shared" si="6"/>
        <v>111</v>
      </c>
      <c r="R12" s="1555" t="s">
        <v>11</v>
      </c>
      <c r="S12" s="1556">
        <f t="shared" si="0"/>
        <v>100</v>
      </c>
      <c r="T12" s="1555" t="s">
        <v>11</v>
      </c>
      <c r="U12" s="1556">
        <f t="shared" si="1"/>
        <v>100</v>
      </c>
      <c r="V12" s="1555" t="s">
        <v>11</v>
      </c>
      <c r="W12" s="1556">
        <f t="shared" si="2"/>
        <v>100</v>
      </c>
      <c r="X12" s="1557"/>
      <c r="Y12" s="3334"/>
      <c r="Z12" s="1146">
        <f t="shared" si="7"/>
        <v>111</v>
      </c>
      <c r="AA12" s="1558">
        <f>D12/F12</f>
        <v>1</v>
      </c>
      <c r="AB12" s="1558">
        <f>D12/H12</f>
        <v>1</v>
      </c>
      <c r="AC12" s="1558">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7"/>
      <c r="Q13" s="1147">
        <f t="shared" si="6"/>
        <v>111</v>
      </c>
      <c r="R13" s="1555" t="s">
        <v>11</v>
      </c>
      <c r="S13" s="1556">
        <f t="shared" si="0"/>
        <v>100</v>
      </c>
      <c r="T13" s="1555" t="s">
        <v>11</v>
      </c>
      <c r="U13" s="1556">
        <f t="shared" si="1"/>
        <v>100</v>
      </c>
      <c r="V13" s="1555" t="s">
        <v>11</v>
      </c>
      <c r="W13" s="1556">
        <f t="shared" si="2"/>
        <v>100</v>
      </c>
      <c r="X13" s="1557"/>
      <c r="Y13" s="3334"/>
      <c r="Z13" s="1146">
        <f t="shared" si="7"/>
        <v>111</v>
      </c>
      <c r="AA13" s="1558">
        <f t="shared" si="3"/>
        <v>1</v>
      </c>
      <c r="AB13" s="1558">
        <f t="shared" si="4"/>
        <v>1</v>
      </c>
      <c r="AC13" s="1558">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7"/>
      <c r="Q14" s="1147">
        <f t="shared" si="6"/>
        <v>111</v>
      </c>
      <c r="R14" s="1555" t="s">
        <v>11</v>
      </c>
      <c r="S14" s="1556">
        <f t="shared" si="0"/>
        <v>100</v>
      </c>
      <c r="T14" s="1555" t="s">
        <v>11</v>
      </c>
      <c r="U14" s="1556">
        <f t="shared" si="1"/>
        <v>100</v>
      </c>
      <c r="V14" s="1555" t="s">
        <v>11</v>
      </c>
      <c r="W14" s="1556">
        <f t="shared" si="2"/>
        <v>100</v>
      </c>
      <c r="X14" s="1557"/>
      <c r="Y14" s="3334"/>
      <c r="Z14" s="1146">
        <f t="shared" si="7"/>
        <v>111</v>
      </c>
      <c r="AA14" s="1558">
        <f t="shared" si="3"/>
        <v>1</v>
      </c>
      <c r="AB14" s="1558">
        <f t="shared" si="4"/>
        <v>1</v>
      </c>
      <c r="AC14" s="1558">
        <f t="shared" si="5"/>
        <v>1</v>
      </c>
    </row>
    <row r="15" spans="1:29" ht="99.75">
      <c r="A15" s="286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9" t="s">
        <v>540</v>
      </c>
      <c r="Q15" s="1559" t="str">
        <f t="shared" si="6"/>
        <v>居住社区成熟度</v>
      </c>
      <c r="R15" s="1560" t="s">
        <v>11</v>
      </c>
      <c r="S15" s="1561">
        <f t="shared" si="0"/>
        <v>100</v>
      </c>
      <c r="T15" s="1560" t="s">
        <v>11</v>
      </c>
      <c r="U15" s="1561">
        <f t="shared" si="1"/>
        <v>100</v>
      </c>
      <c r="V15" s="1560" t="s">
        <v>11</v>
      </c>
      <c r="W15" s="1561">
        <f t="shared" si="2"/>
        <v>100</v>
      </c>
      <c r="X15" s="1554"/>
      <c r="Y15" s="337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0"/>
      <c r="Q16" s="1559"/>
      <c r="R16" s="1560"/>
      <c r="S16" s="1561"/>
      <c r="T16" s="1560"/>
      <c r="U16" s="1561"/>
      <c r="V16" s="1560"/>
      <c r="W16" s="1561"/>
      <c r="X16" s="1554"/>
      <c r="Y16" s="338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0"/>
      <c r="Q17" s="1559" t="str">
        <f>B17</f>
        <v>交通便捷度</v>
      </c>
      <c r="R17" s="1560" t="s">
        <v>11</v>
      </c>
      <c r="S17" s="1561">
        <f>F17</f>
        <v>100</v>
      </c>
      <c r="T17" s="1560" t="s">
        <v>11</v>
      </c>
      <c r="U17" s="1561">
        <f>H17</f>
        <v>100</v>
      </c>
      <c r="V17" s="1560" t="s">
        <v>11</v>
      </c>
      <c r="W17" s="1561">
        <f>J17</f>
        <v>100</v>
      </c>
      <c r="X17" s="1554"/>
      <c r="Y17" s="338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0"/>
      <c r="Q18" s="1559"/>
      <c r="R18" s="1560"/>
      <c r="S18" s="1561"/>
      <c r="T18" s="1560"/>
      <c r="U18" s="1561"/>
      <c r="V18" s="1560"/>
      <c r="W18" s="1561"/>
      <c r="X18" s="1554"/>
      <c r="Y18" s="3380"/>
      <c r="Z18" s="1562"/>
      <c r="AA18" s="1563">
        <v>1</v>
      </c>
      <c r="AB18" s="1563">
        <v>1</v>
      </c>
      <c r="AC18" s="1563">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0"/>
      <c r="Q19" s="1559" t="str">
        <f>B19</f>
        <v>公共配套设施</v>
      </c>
      <c r="R19" s="1560" t="s">
        <v>11</v>
      </c>
      <c r="S19" s="1561">
        <f>F19</f>
        <v>100</v>
      </c>
      <c r="T19" s="1560" t="s">
        <v>11</v>
      </c>
      <c r="U19" s="1561">
        <f>H19</f>
        <v>100</v>
      </c>
      <c r="V19" s="1560" t="s">
        <v>11</v>
      </c>
      <c r="W19" s="1561">
        <f>J19</f>
        <v>100</v>
      </c>
      <c r="X19" s="1554"/>
      <c r="Y19" s="338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0"/>
      <c r="Q20" s="1559"/>
      <c r="R20" s="1560"/>
      <c r="S20" s="1561"/>
      <c r="T20" s="1560"/>
      <c r="U20" s="1561"/>
      <c r="V20" s="1560"/>
      <c r="W20" s="1561"/>
      <c r="X20" s="1554"/>
      <c r="Y20" s="3380"/>
      <c r="Z20" s="1562"/>
      <c r="AA20" s="1563">
        <v>1</v>
      </c>
      <c r="AB20" s="1563">
        <v>1</v>
      </c>
      <c r="AC20" s="1563">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0"/>
      <c r="Q21" s="2541" t="str">
        <f>B21</f>
        <v>基础设施水平</v>
      </c>
      <c r="R21" s="1560" t="s">
        <v>11</v>
      </c>
      <c r="S21" s="1561">
        <f>F21</f>
        <v>100</v>
      </c>
      <c r="T21" s="1560" t="s">
        <v>11</v>
      </c>
      <c r="U21" s="1561">
        <f>H21</f>
        <v>100</v>
      </c>
      <c r="V21" s="1560" t="s">
        <v>11</v>
      </c>
      <c r="W21" s="1561">
        <f>J21</f>
        <v>100</v>
      </c>
      <c r="X21" s="2543"/>
      <c r="Y21" s="3380"/>
      <c r="Z21" s="2542"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1"/>
      <c r="L22" s="2128"/>
      <c r="M22" s="2120"/>
      <c r="N22" s="2120"/>
      <c r="O22" s="2127"/>
      <c r="P22" s="3380"/>
      <c r="Q22" s="2541"/>
      <c r="R22" s="1560"/>
      <c r="S22" s="1561"/>
      <c r="T22" s="1560"/>
      <c r="U22" s="1561"/>
      <c r="V22" s="1560"/>
      <c r="W22" s="1561"/>
      <c r="X22" s="2543"/>
      <c r="Y22" s="3380"/>
      <c r="Z22" s="2542"/>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0"/>
      <c r="Q23" s="1559" t="str">
        <f>B23</f>
        <v>自然及人文环境</v>
      </c>
      <c r="R23" s="1560" t="s">
        <v>11</v>
      </c>
      <c r="S23" s="1561">
        <f>F23</f>
        <v>100</v>
      </c>
      <c r="T23" s="1560" t="s">
        <v>11</v>
      </c>
      <c r="U23" s="1561">
        <f>H23</f>
        <v>100</v>
      </c>
      <c r="V23" s="1560" t="s">
        <v>11</v>
      </c>
      <c r="W23" s="1561">
        <f>J23</f>
        <v>100</v>
      </c>
      <c r="X23" s="1554"/>
      <c r="Y23" s="338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0"/>
      <c r="Q24" s="1559"/>
      <c r="R24" s="1560"/>
      <c r="S24" s="1561"/>
      <c r="T24" s="1560"/>
      <c r="U24" s="1561"/>
      <c r="V24" s="1560"/>
      <c r="W24" s="1561"/>
      <c r="X24" s="1554"/>
      <c r="Y24" s="3380"/>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0"/>
      <c r="Q25" s="1559" t="str">
        <f t="shared" ref="Q25:Q46" si="11">B25</f>
        <v>楼层-1</v>
      </c>
      <c r="R25" s="1560" t="s">
        <v>11</v>
      </c>
      <c r="S25" s="1561">
        <f>F25</f>
        <v>100</v>
      </c>
      <c r="T25" s="1560" t="s">
        <v>11</v>
      </c>
      <c r="U25" s="1561">
        <f>H25</f>
        <v>100</v>
      </c>
      <c r="V25" s="1560" t="s">
        <v>11</v>
      </c>
      <c r="W25" s="1561">
        <f>J25</f>
        <v>100</v>
      </c>
      <c r="X25" s="1554"/>
      <c r="Y25" s="338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0"/>
      <c r="Q26" s="1559" t="str">
        <f t="shared" si="11"/>
        <v>朝向</v>
      </c>
      <c r="R26" s="1560" t="s">
        <v>11</v>
      </c>
      <c r="S26" s="1561">
        <f>F26</f>
        <v>100</v>
      </c>
      <c r="T26" s="1560" t="s">
        <v>11</v>
      </c>
      <c r="U26" s="1561">
        <f>H26</f>
        <v>100</v>
      </c>
      <c r="V26" s="1560" t="s">
        <v>11</v>
      </c>
      <c r="W26" s="1561">
        <f>J26</f>
        <v>100</v>
      </c>
      <c r="X26" s="1554"/>
      <c r="Y26" s="338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0"/>
      <c r="Q27" s="1147" t="str">
        <f t="shared" si="11"/>
        <v>道路级别</v>
      </c>
      <c r="R27" s="1555" t="s">
        <v>11</v>
      </c>
      <c r="S27" s="1556">
        <f>F27</f>
        <v>100</v>
      </c>
      <c r="T27" s="1555" t="s">
        <v>11</v>
      </c>
      <c r="U27" s="1556">
        <f>H27</f>
        <v>100</v>
      </c>
      <c r="V27" s="1555" t="s">
        <v>11</v>
      </c>
      <c r="W27" s="1556">
        <f>J27</f>
        <v>100</v>
      </c>
      <c r="X27" s="1557"/>
      <c r="Y27" s="338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0"/>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0"/>
      <c r="Q29" s="1559">
        <f t="shared" si="11"/>
        <v>111</v>
      </c>
      <c r="R29" s="1560" t="s">
        <v>11</v>
      </c>
      <c r="S29" s="1561">
        <f t="shared" si="12"/>
        <v>100</v>
      </c>
      <c r="T29" s="1560" t="s">
        <v>11</v>
      </c>
      <c r="U29" s="1561">
        <f t="shared" si="13"/>
        <v>100</v>
      </c>
      <c r="V29" s="1560" t="s">
        <v>11</v>
      </c>
      <c r="W29" s="1561">
        <f t="shared" si="14"/>
        <v>100</v>
      </c>
      <c r="X29" s="1554"/>
      <c r="Y29" s="338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0"/>
      <c r="Q30" s="1559">
        <f t="shared" si="11"/>
        <v>111</v>
      </c>
      <c r="R30" s="1560" t="s">
        <v>11</v>
      </c>
      <c r="S30" s="1561">
        <f t="shared" si="12"/>
        <v>100</v>
      </c>
      <c r="T30" s="1560" t="s">
        <v>11</v>
      </c>
      <c r="U30" s="1561">
        <f t="shared" si="13"/>
        <v>100</v>
      </c>
      <c r="V30" s="1560" t="s">
        <v>11</v>
      </c>
      <c r="W30" s="1561">
        <f t="shared" si="14"/>
        <v>100</v>
      </c>
      <c r="X30" s="1554"/>
      <c r="Y30" s="338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0"/>
      <c r="Q31" s="1559">
        <f t="shared" si="11"/>
        <v>111</v>
      </c>
      <c r="R31" s="1560" t="s">
        <v>11</v>
      </c>
      <c r="S31" s="1561">
        <f t="shared" si="12"/>
        <v>100</v>
      </c>
      <c r="T31" s="1560" t="s">
        <v>11</v>
      </c>
      <c r="U31" s="1561">
        <f t="shared" si="13"/>
        <v>100</v>
      </c>
      <c r="V31" s="1560" t="s">
        <v>11</v>
      </c>
      <c r="W31" s="1561">
        <f t="shared" si="14"/>
        <v>100</v>
      </c>
      <c r="X31" s="1554"/>
      <c r="Y31" s="3380"/>
      <c r="Z31" s="1562">
        <f t="shared" si="15"/>
        <v>111</v>
      </c>
      <c r="AA31" s="1563">
        <f t="shared" si="3"/>
        <v>1</v>
      </c>
      <c r="AB31" s="1563">
        <f t="shared" si="4"/>
        <v>1</v>
      </c>
      <c r="AC31" s="1563">
        <f t="shared" si="5"/>
        <v>1</v>
      </c>
    </row>
    <row r="32" spans="1:29" ht="15">
      <c r="A32" s="2860"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1" t="s">
        <v>550</v>
      </c>
      <c r="Q32" s="1559" t="str">
        <f t="shared" si="11"/>
        <v>建筑类型</v>
      </c>
      <c r="R32" s="1560" t="s">
        <v>11</v>
      </c>
      <c r="S32" s="1561">
        <f t="shared" si="12"/>
        <v>100</v>
      </c>
      <c r="T32" s="1560" t="s">
        <v>11</v>
      </c>
      <c r="U32" s="1561">
        <f t="shared" si="13"/>
        <v>100</v>
      </c>
      <c r="V32" s="1560" t="s">
        <v>11</v>
      </c>
      <c r="W32" s="1561">
        <f t="shared" si="14"/>
        <v>100</v>
      </c>
      <c r="X32" s="1554"/>
      <c r="Y32" s="338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2"/>
      <c r="Q33" s="1591" t="str">
        <f t="shared" si="11"/>
        <v>项目建筑规模</v>
      </c>
      <c r="R33" s="1564" t="s">
        <v>11</v>
      </c>
      <c r="S33" s="1565" t="e">
        <f t="shared" si="12"/>
        <v>#N/A</v>
      </c>
      <c r="T33" s="1564" t="s">
        <v>11</v>
      </c>
      <c r="U33" s="1565" t="e">
        <f t="shared" si="13"/>
        <v>#N/A</v>
      </c>
      <c r="V33" s="1564" t="s">
        <v>11</v>
      </c>
      <c r="W33" s="1565" t="e">
        <f t="shared" si="14"/>
        <v>#N/A</v>
      </c>
      <c r="X33" s="1566"/>
      <c r="Y33" s="338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2"/>
      <c r="Q34" s="1559" t="str">
        <f t="shared" si="11"/>
        <v>建筑结构</v>
      </c>
      <c r="R34" s="1560" t="s">
        <v>11</v>
      </c>
      <c r="S34" s="1561">
        <f t="shared" si="12"/>
        <v>100</v>
      </c>
      <c r="T34" s="1560" t="s">
        <v>11</v>
      </c>
      <c r="U34" s="1561">
        <f t="shared" si="13"/>
        <v>100</v>
      </c>
      <c r="V34" s="1560" t="s">
        <v>11</v>
      </c>
      <c r="W34" s="1561">
        <f t="shared" si="14"/>
        <v>100</v>
      </c>
      <c r="X34" s="1554"/>
      <c r="Y34" s="338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2"/>
      <c r="Q35" s="1559" t="str">
        <f t="shared" si="11"/>
        <v>建筑品质</v>
      </c>
      <c r="R35" s="1560" t="s">
        <v>11</v>
      </c>
      <c r="S35" s="1561">
        <f t="shared" si="12"/>
        <v>100</v>
      </c>
      <c r="T35" s="1560" t="s">
        <v>11</v>
      </c>
      <c r="U35" s="1561">
        <f t="shared" si="13"/>
        <v>100</v>
      </c>
      <c r="V35" s="1560" t="s">
        <v>11</v>
      </c>
      <c r="W35" s="1561">
        <f t="shared" si="14"/>
        <v>100</v>
      </c>
      <c r="X35" s="1554"/>
      <c r="Y35" s="338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2"/>
      <c r="Q36" s="1559" t="str">
        <f t="shared" si="11"/>
        <v>公共部分装修</v>
      </c>
      <c r="R36" s="1560" t="s">
        <v>11</v>
      </c>
      <c r="S36" s="1561">
        <f t="shared" si="12"/>
        <v>100</v>
      </c>
      <c r="T36" s="1560" t="s">
        <v>11</v>
      </c>
      <c r="U36" s="1561">
        <f t="shared" si="13"/>
        <v>100</v>
      </c>
      <c r="V36" s="1560" t="s">
        <v>11</v>
      </c>
      <c r="W36" s="1561">
        <f t="shared" si="14"/>
        <v>100</v>
      </c>
      <c r="X36" s="1554"/>
      <c r="Y36" s="338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2"/>
      <c r="Q37" s="1147" t="str">
        <f t="shared" si="11"/>
        <v>成新度</v>
      </c>
      <c r="R37" s="1555" t="s">
        <v>11</v>
      </c>
      <c r="S37" s="1556" t="e">
        <f t="shared" si="12"/>
        <v>#N/A</v>
      </c>
      <c r="T37" s="1555" t="s">
        <v>11</v>
      </c>
      <c r="U37" s="1556" t="e">
        <f t="shared" si="13"/>
        <v>#N/A</v>
      </c>
      <c r="V37" s="1555" t="s">
        <v>11</v>
      </c>
      <c r="W37" s="1556" t="e">
        <f t="shared" si="14"/>
        <v>#N/A</v>
      </c>
      <c r="X37" s="1557"/>
      <c r="Y37" s="338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2" t="s">
        <v>550</v>
      </c>
      <c r="Q38" s="1559" t="str">
        <f t="shared" si="11"/>
        <v>物业管理</v>
      </c>
      <c r="R38" s="1560" t="s">
        <v>11</v>
      </c>
      <c r="S38" s="1561">
        <f t="shared" si="12"/>
        <v>100</v>
      </c>
      <c r="T38" s="1560" t="s">
        <v>11</v>
      </c>
      <c r="U38" s="1561">
        <f t="shared" si="13"/>
        <v>100</v>
      </c>
      <c r="V38" s="1560" t="s">
        <v>11</v>
      </c>
      <c r="W38" s="1561">
        <f t="shared" si="14"/>
        <v>100</v>
      </c>
      <c r="X38" s="1554"/>
      <c r="Y38" s="3382"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2"/>
      <c r="Q39" s="1559" t="str">
        <f t="shared" si="11"/>
        <v>市政基础设施</v>
      </c>
      <c r="R39" s="1560" t="s">
        <v>11</v>
      </c>
      <c r="S39" s="1561">
        <f t="shared" si="12"/>
        <v>100</v>
      </c>
      <c r="T39" s="1560" t="s">
        <v>11</v>
      </c>
      <c r="U39" s="1561">
        <f t="shared" si="13"/>
        <v>100</v>
      </c>
      <c r="V39" s="1560" t="s">
        <v>11</v>
      </c>
      <c r="W39" s="1561">
        <f t="shared" si="14"/>
        <v>100</v>
      </c>
      <c r="X39" s="1554"/>
      <c r="Y39" s="338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2"/>
      <c r="Q40" s="1559" t="str">
        <f t="shared" si="11"/>
        <v>房型</v>
      </c>
      <c r="R40" s="1560" t="s">
        <v>11</v>
      </c>
      <c r="S40" s="1561">
        <f t="shared" si="12"/>
        <v>100</v>
      </c>
      <c r="T40" s="1560" t="s">
        <v>11</v>
      </c>
      <c r="U40" s="1561">
        <f t="shared" si="13"/>
        <v>100</v>
      </c>
      <c r="V40" s="1560" t="s">
        <v>11</v>
      </c>
      <c r="W40" s="1561">
        <f t="shared" si="14"/>
        <v>100</v>
      </c>
      <c r="X40" s="1554"/>
      <c r="Y40" s="338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2"/>
      <c r="Q41" s="1591" t="str">
        <f t="shared" si="11"/>
        <v>单套/主力户型建筑面积</v>
      </c>
      <c r="R41" s="1564" t="s">
        <v>11</v>
      </c>
      <c r="S41" s="1565">
        <f t="shared" si="12"/>
        <v>100</v>
      </c>
      <c r="T41" s="1564" t="s">
        <v>11</v>
      </c>
      <c r="U41" s="1565">
        <f t="shared" si="13"/>
        <v>100</v>
      </c>
      <c r="V41" s="1564" t="s">
        <v>11</v>
      </c>
      <c r="W41" s="1565">
        <f t="shared" si="14"/>
        <v>100</v>
      </c>
      <c r="X41" s="1566"/>
      <c r="Y41" s="338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2"/>
      <c r="Q42" s="1559" t="str">
        <f t="shared" si="11"/>
        <v>内部装修</v>
      </c>
      <c r="R42" s="1560" t="s">
        <v>11</v>
      </c>
      <c r="S42" s="1561">
        <f t="shared" si="12"/>
        <v>100</v>
      </c>
      <c r="T42" s="1560" t="s">
        <v>11</v>
      </c>
      <c r="U42" s="1561">
        <f t="shared" si="13"/>
        <v>100</v>
      </c>
      <c r="V42" s="1560" t="s">
        <v>11</v>
      </c>
      <c r="W42" s="1561">
        <f t="shared" si="14"/>
        <v>100</v>
      </c>
      <c r="X42" s="1554"/>
      <c r="Y42" s="338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2"/>
      <c r="Q43" s="1559" t="str">
        <f t="shared" si="11"/>
        <v>内部装修维护情况</v>
      </c>
      <c r="R43" s="1560" t="s">
        <v>11</v>
      </c>
      <c r="S43" s="1561">
        <f t="shared" si="12"/>
        <v>100</v>
      </c>
      <c r="T43" s="1560" t="s">
        <v>11</v>
      </c>
      <c r="U43" s="1561">
        <f t="shared" si="13"/>
        <v>100</v>
      </c>
      <c r="V43" s="1560" t="s">
        <v>11</v>
      </c>
      <c r="W43" s="1561">
        <f t="shared" si="14"/>
        <v>100</v>
      </c>
      <c r="X43" s="1554"/>
      <c r="Y43" s="338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2"/>
      <c r="Q44" s="1147">
        <f t="shared" si="11"/>
        <v>111</v>
      </c>
      <c r="R44" s="1555" t="s">
        <v>11</v>
      </c>
      <c r="S44" s="1556">
        <f t="shared" si="12"/>
        <v>100</v>
      </c>
      <c r="T44" s="1555" t="s">
        <v>11</v>
      </c>
      <c r="U44" s="1556">
        <f t="shared" si="13"/>
        <v>100</v>
      </c>
      <c r="V44" s="1555" t="s">
        <v>11</v>
      </c>
      <c r="W44" s="1556">
        <f t="shared" si="14"/>
        <v>100</v>
      </c>
      <c r="X44" s="1557"/>
      <c r="Y44" s="338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2"/>
      <c r="Q45" s="1559">
        <f t="shared" si="11"/>
        <v>111</v>
      </c>
      <c r="R45" s="1560" t="s">
        <v>11</v>
      </c>
      <c r="S45" s="1561">
        <f t="shared" si="12"/>
        <v>100</v>
      </c>
      <c r="T45" s="1560" t="s">
        <v>11</v>
      </c>
      <c r="U45" s="1561">
        <f t="shared" si="13"/>
        <v>100</v>
      </c>
      <c r="V45" s="1560" t="s">
        <v>11</v>
      </c>
      <c r="W45" s="1561">
        <f t="shared" si="14"/>
        <v>100</v>
      </c>
      <c r="X45" s="1554"/>
      <c r="Y45" s="338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2"/>
      <c r="Q46" s="1559">
        <f t="shared" si="11"/>
        <v>111</v>
      </c>
      <c r="R46" s="1560" t="s">
        <v>10</v>
      </c>
      <c r="S46" s="1561">
        <f t="shared" si="12"/>
        <v>100</v>
      </c>
      <c r="T46" s="1560" t="s">
        <v>10</v>
      </c>
      <c r="U46" s="1561">
        <f t="shared" si="13"/>
        <v>100</v>
      </c>
      <c r="V46" s="1560" t="s">
        <v>10</v>
      </c>
      <c r="W46" s="1561">
        <f t="shared" si="14"/>
        <v>100</v>
      </c>
      <c r="X46" s="1554"/>
      <c r="Y46" s="3482"/>
      <c r="Z46" s="1562">
        <f t="shared" si="15"/>
        <v>111</v>
      </c>
      <c r="AA46" s="1563">
        <f t="shared" si="3"/>
        <v>1</v>
      </c>
      <c r="AB46" s="1563">
        <f t="shared" si="4"/>
        <v>1</v>
      </c>
      <c r="AC46" s="1563">
        <f t="shared" si="5"/>
        <v>1</v>
      </c>
    </row>
    <row r="47" spans="1:29" ht="15">
      <c r="A47" s="607" t="s">
        <v>736</v>
      </c>
      <c r="B47" s="887"/>
      <c r="C47" s="2589" t="s">
        <v>9</v>
      </c>
      <c r="D47" s="2590"/>
      <c r="E47" s="2591"/>
      <c r="F47" s="2592"/>
      <c r="G47" s="2593"/>
      <c r="H47" s="2594"/>
      <c r="I47" s="2591"/>
      <c r="J47" s="2594"/>
      <c r="K47" s="1592"/>
      <c r="L47" s="2130"/>
      <c r="M47" s="2131"/>
      <c r="N47" s="2120"/>
      <c r="O47" s="2131"/>
      <c r="P47" s="3377" t="str">
        <f>A47</f>
        <v>成交单价（元/平方米）</v>
      </c>
      <c r="Q47" s="3377"/>
      <c r="R47" s="3481">
        <f>E47</f>
        <v>0</v>
      </c>
      <c r="S47" s="3481"/>
      <c r="T47" s="3481">
        <f>G47</f>
        <v>0</v>
      </c>
      <c r="U47" s="3481"/>
      <c r="V47" s="3481">
        <f>I47</f>
        <v>0</v>
      </c>
      <c r="W47" s="3481"/>
      <c r="X47" s="1546"/>
      <c r="Y47" s="1568"/>
      <c r="Z47" s="1546"/>
      <c r="AA47" s="1546"/>
      <c r="AB47" s="1546"/>
      <c r="AC47" s="1546"/>
    </row>
    <row r="48" spans="1:29" ht="15.75" thickBot="1">
      <c r="A48" s="615" t="s">
        <v>2760</v>
      </c>
      <c r="B48" s="888"/>
      <c r="C48" s="2595" t="e">
        <f>R49</f>
        <v>#DIV/0!</v>
      </c>
      <c r="D48" s="2596"/>
      <c r="E48" s="2597" t="e">
        <f>R48</f>
        <v>#DIV/0!</v>
      </c>
      <c r="F48" s="2597"/>
      <c r="G48" s="2595" t="e">
        <f>T48</f>
        <v>#DIV/0!</v>
      </c>
      <c r="H48" s="2596"/>
      <c r="I48" s="2597" t="e">
        <f>V48</f>
        <v>#DIV/0!</v>
      </c>
      <c r="J48" s="2596"/>
      <c r="K48" s="1593"/>
      <c r="L48" s="2130"/>
      <c r="M48" s="2131"/>
      <c r="N48" s="2131"/>
      <c r="O48" s="2131"/>
      <c r="P48" s="3377" t="str">
        <f>A48</f>
        <v>比较价格（元/平方米）</v>
      </c>
      <c r="Q48" s="3377"/>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2934</v>
      </c>
      <c r="B49" s="622"/>
      <c r="C49" s="2598" t="e">
        <f>R49</f>
        <v>#DIV/0!</v>
      </c>
      <c r="D49" s="2598"/>
      <c r="E49" s="2598"/>
      <c r="F49" s="2598"/>
      <c r="G49" s="2598"/>
      <c r="H49" s="2598"/>
      <c r="I49" s="2598"/>
      <c r="J49" s="2598"/>
      <c r="K49" s="1594"/>
      <c r="L49" s="2130"/>
      <c r="M49" s="2131"/>
      <c r="N49" s="2131"/>
      <c r="O49" s="2131"/>
      <c r="P49" s="3398" t="str">
        <f>A49</f>
        <v>估价对象XX用房的比较价格（楼面单价，元/平方米）</v>
      </c>
      <c r="Q49" s="3399"/>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7" t="str">
        <f>YEAR(C7)&amp;"-"&amp;MONTH(C7)</f>
        <v>2019-5</v>
      </c>
      <c r="D58" s="2757">
        <f>EDATE(C58,-1)</f>
        <v>43556</v>
      </c>
      <c r="E58" s="2757">
        <f t="shared" ref="E58:O58" si="16">EDATE(D58,-1)</f>
        <v>43525</v>
      </c>
      <c r="F58" s="2757">
        <f t="shared" si="16"/>
        <v>43497</v>
      </c>
      <c r="G58" s="2757">
        <f t="shared" si="16"/>
        <v>43466</v>
      </c>
      <c r="H58" s="2757">
        <f t="shared" si="16"/>
        <v>43435</v>
      </c>
      <c r="I58" s="2757">
        <f t="shared" si="16"/>
        <v>43405</v>
      </c>
      <c r="J58" s="2757">
        <f t="shared" si="16"/>
        <v>43374</v>
      </c>
      <c r="K58" s="2757">
        <f t="shared" si="16"/>
        <v>43344</v>
      </c>
      <c r="L58" s="2757">
        <f t="shared" si="16"/>
        <v>43313</v>
      </c>
      <c r="M58" s="2757">
        <f t="shared" si="16"/>
        <v>43282</v>
      </c>
      <c r="N58" s="2757">
        <f t="shared" si="16"/>
        <v>43252</v>
      </c>
      <c r="O58" s="2757">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2"/>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3" t="s">
        <v>522</v>
      </c>
      <c r="D4" s="3384"/>
      <c r="E4" s="3413" t="s">
        <v>523</v>
      </c>
      <c r="F4" s="3414"/>
      <c r="G4" s="3383" t="s">
        <v>524</v>
      </c>
      <c r="H4" s="3384"/>
      <c r="I4" s="3383" t="s">
        <v>525</v>
      </c>
      <c r="J4" s="3384"/>
      <c r="K4" s="514" t="s">
        <v>526</v>
      </c>
      <c r="L4" s="2119"/>
      <c r="M4" s="2120"/>
      <c r="N4" s="2120"/>
      <c r="O4" s="2120"/>
      <c r="P4" s="3385" t="s">
        <v>527</v>
      </c>
      <c r="Q4" s="3386"/>
      <c r="R4" s="3371" t="s">
        <v>523</v>
      </c>
      <c r="S4" s="3372"/>
      <c r="T4" s="3371" t="s">
        <v>524</v>
      </c>
      <c r="U4" s="3372"/>
      <c r="V4" s="3391" t="s">
        <v>525</v>
      </c>
      <c r="W4" s="3391"/>
      <c r="X4" s="1554"/>
      <c r="Y4" s="3371" t="s">
        <v>527</v>
      </c>
      <c r="Z4" s="3372"/>
      <c r="AA4" s="3366" t="s">
        <v>523</v>
      </c>
      <c r="AB4" s="3391" t="s">
        <v>524</v>
      </c>
      <c r="AC4" s="3366" t="s">
        <v>525</v>
      </c>
    </row>
    <row r="5" spans="1:29" ht="15">
      <c r="A5" s="515"/>
      <c r="B5" s="516"/>
      <c r="C5" s="3394" t="s">
        <v>2928</v>
      </c>
      <c r="D5" s="3395"/>
      <c r="E5" s="3415" t="s">
        <v>2929</v>
      </c>
      <c r="F5" s="3416"/>
      <c r="G5" s="3394" t="s">
        <v>2930</v>
      </c>
      <c r="H5" s="3395"/>
      <c r="I5" s="3394" t="s">
        <v>2931</v>
      </c>
      <c r="J5" s="3395"/>
      <c r="K5" s="514"/>
      <c r="L5" s="2119"/>
      <c r="M5" s="2120"/>
      <c r="N5" s="2120"/>
      <c r="O5" s="2120"/>
      <c r="P5" s="3387"/>
      <c r="Q5" s="3388"/>
      <c r="R5" s="3373"/>
      <c r="S5" s="3374"/>
      <c r="T5" s="3373"/>
      <c r="U5" s="3374"/>
      <c r="V5" s="3391"/>
      <c r="W5" s="3391"/>
      <c r="X5" s="1554"/>
      <c r="Y5" s="3373"/>
      <c r="Z5" s="3374"/>
      <c r="AA5" s="3367"/>
      <c r="AB5" s="3391"/>
      <c r="AC5" s="3367"/>
    </row>
    <row r="6" spans="1:29" ht="15.75" thickBot="1">
      <c r="A6" s="517"/>
      <c r="B6" s="518"/>
      <c r="C6" s="3392" t="s">
        <v>2932</v>
      </c>
      <c r="D6" s="3393"/>
      <c r="E6" s="3417" t="s">
        <v>2932</v>
      </c>
      <c r="F6" s="3418"/>
      <c r="G6" s="3392" t="s">
        <v>2932</v>
      </c>
      <c r="H6" s="3393"/>
      <c r="I6" s="3392" t="s">
        <v>2932</v>
      </c>
      <c r="J6" s="3393"/>
      <c r="K6" s="514" t="s">
        <v>528</v>
      </c>
      <c r="L6" s="2119"/>
      <c r="M6" s="2120"/>
      <c r="N6" s="2120"/>
      <c r="O6" s="2120"/>
      <c r="P6" s="3389"/>
      <c r="Q6" s="3390"/>
      <c r="R6" s="3373"/>
      <c r="S6" s="3374"/>
      <c r="T6" s="3375"/>
      <c r="U6" s="3376"/>
      <c r="V6" s="3391"/>
      <c r="W6" s="3391"/>
      <c r="X6" s="1554"/>
      <c r="Y6" s="3375"/>
      <c r="Z6" s="3376"/>
      <c r="AA6" s="3368"/>
      <c r="AB6" s="3391"/>
      <c r="AC6" s="3368"/>
    </row>
    <row r="7" spans="1:29" s="1216" customFormat="1" ht="15.75" thickBot="1">
      <c r="A7" s="2865"/>
      <c r="B7" s="2872" t="s">
        <v>529</v>
      </c>
      <c r="C7" s="519">
        <f>'数据-取费表'!B2</f>
        <v>43599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9" t="s">
        <v>530</v>
      </c>
      <c r="Q7" s="3378"/>
      <c r="R7" s="1555" t="s">
        <v>8</v>
      </c>
      <c r="S7" s="1556">
        <f t="shared" ref="S7:S15" si="0">F7</f>
        <v>0</v>
      </c>
      <c r="T7" s="1555" t="s">
        <v>8</v>
      </c>
      <c r="U7" s="1556">
        <f t="shared" ref="U7:U15" si="1">H7</f>
        <v>0</v>
      </c>
      <c r="V7" s="1555" t="s">
        <v>8</v>
      </c>
      <c r="W7" s="1556">
        <f t="shared" ref="W7:W15" si="2">J7</f>
        <v>0</v>
      </c>
      <c r="X7" s="1557"/>
      <c r="Y7" s="3369" t="s">
        <v>530</v>
      </c>
      <c r="Z7" s="3370"/>
      <c r="AA7" s="1558" t="e">
        <f>D7/F7</f>
        <v>#DIV/0!</v>
      </c>
      <c r="AB7" s="1558" t="e">
        <f>D7/H7</f>
        <v>#DIV/0!</v>
      </c>
      <c r="AC7" s="1558" t="e">
        <f>D7/J7</f>
        <v>#DIV/0!</v>
      </c>
    </row>
    <row r="8" spans="1:29" s="1216"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9" t="s">
        <v>533</v>
      </c>
      <c r="Q8" s="3370"/>
      <c r="R8" s="1555" t="s">
        <v>8</v>
      </c>
      <c r="S8" s="1556">
        <f t="shared" si="0"/>
        <v>0</v>
      </c>
      <c r="T8" s="1555" t="s">
        <v>8</v>
      </c>
      <c r="U8" s="1556">
        <f t="shared" si="1"/>
        <v>0</v>
      </c>
      <c r="V8" s="1555" t="s">
        <v>8</v>
      </c>
      <c r="W8" s="1556">
        <f t="shared" si="2"/>
        <v>0</v>
      </c>
      <c r="X8" s="1557"/>
      <c r="Y8" s="3369" t="s">
        <v>533</v>
      </c>
      <c r="Z8" s="3370"/>
      <c r="AA8" s="1558" t="e">
        <f t="shared" ref="AA8:AA46" si="3">D8/F8</f>
        <v>#DIV/0!</v>
      </c>
      <c r="AB8" s="1558" t="e">
        <f t="shared" ref="AB8:AB46" si="4">D8/H8</f>
        <v>#DIV/0!</v>
      </c>
      <c r="AC8" s="1558" t="e">
        <f t="shared" ref="AC8:AC46" si="5">D8/J8</f>
        <v>#DIV/0!</v>
      </c>
    </row>
    <row r="9" spans="1:29" s="1216" customFormat="1" ht="15">
      <c r="A9" s="2867"/>
      <c r="B9" s="2874"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7" t="s">
        <v>535</v>
      </c>
      <c r="Q9" s="1147" t="str">
        <f t="shared" ref="Q9:Q15" si="6">B9</f>
        <v>用途</v>
      </c>
      <c r="R9" s="1555" t="s">
        <v>8</v>
      </c>
      <c r="S9" s="1556">
        <f t="shared" si="0"/>
        <v>100</v>
      </c>
      <c r="T9" s="1555" t="s">
        <v>8</v>
      </c>
      <c r="U9" s="1556">
        <f t="shared" si="1"/>
        <v>100</v>
      </c>
      <c r="V9" s="1555" t="s">
        <v>8</v>
      </c>
      <c r="W9" s="1556">
        <f t="shared" si="2"/>
        <v>100</v>
      </c>
      <c r="X9" s="1557"/>
      <c r="Y9" s="3334"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7"/>
      <c r="Q10" s="1147" t="str">
        <f t="shared" si="6"/>
        <v>土地使用年限（年）</v>
      </c>
      <c r="R10" s="1555" t="s">
        <v>8</v>
      </c>
      <c r="S10" s="1556">
        <f t="shared" si="0"/>
        <v>100</v>
      </c>
      <c r="T10" s="1555" t="s">
        <v>8</v>
      </c>
      <c r="U10" s="1556">
        <f t="shared" si="1"/>
        <v>100</v>
      </c>
      <c r="V10" s="1555" t="s">
        <v>8</v>
      </c>
      <c r="W10" s="1556">
        <f t="shared" si="2"/>
        <v>100</v>
      </c>
      <c r="X10" s="1557"/>
      <c r="Y10" s="3334"/>
      <c r="Z10" s="1146" t="str">
        <f t="shared" si="7"/>
        <v>土地使用年限（年）</v>
      </c>
      <c r="AA10" s="1558">
        <f t="shared" si="3"/>
        <v>1</v>
      </c>
      <c r="AB10" s="1558">
        <f t="shared" si="4"/>
        <v>1</v>
      </c>
      <c r="AC10" s="1558">
        <f t="shared" si="5"/>
        <v>1</v>
      </c>
    </row>
    <row r="11" spans="1:29" ht="15">
      <c r="A11" s="2869"/>
      <c r="B11" s="2873"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7"/>
      <c r="Q11" s="1147" t="str">
        <f t="shared" si="6"/>
        <v>容积率</v>
      </c>
      <c r="R11" s="1555" t="s">
        <v>8</v>
      </c>
      <c r="S11" s="1556" t="e">
        <f t="shared" si="0"/>
        <v>#N/A</v>
      </c>
      <c r="T11" s="1555" t="s">
        <v>8</v>
      </c>
      <c r="U11" s="1556" t="e">
        <f t="shared" si="1"/>
        <v>#N/A</v>
      </c>
      <c r="V11" s="1555" t="s">
        <v>8</v>
      </c>
      <c r="W11" s="1556" t="e">
        <f t="shared" si="2"/>
        <v>#N/A</v>
      </c>
      <c r="X11" s="1557"/>
      <c r="Y11" s="3334"/>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7"/>
      <c r="Q12" s="1147">
        <f t="shared" si="6"/>
        <v>111</v>
      </c>
      <c r="R12" s="1555" t="s">
        <v>8</v>
      </c>
      <c r="S12" s="1556">
        <f t="shared" si="0"/>
        <v>100</v>
      </c>
      <c r="T12" s="1555" t="s">
        <v>8</v>
      </c>
      <c r="U12" s="1556">
        <f t="shared" si="1"/>
        <v>100</v>
      </c>
      <c r="V12" s="1555" t="s">
        <v>8</v>
      </c>
      <c r="W12" s="1556">
        <f t="shared" si="2"/>
        <v>100</v>
      </c>
      <c r="X12" s="1557"/>
      <c r="Y12" s="3334"/>
      <c r="Z12" s="1146">
        <f t="shared" si="7"/>
        <v>111</v>
      </c>
      <c r="AA12" s="1558">
        <f>D12/F12</f>
        <v>1</v>
      </c>
      <c r="AB12" s="1558">
        <f>D12/H12</f>
        <v>1</v>
      </c>
      <c r="AC12" s="1558">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7"/>
      <c r="Q13" s="1147">
        <f t="shared" si="6"/>
        <v>111</v>
      </c>
      <c r="R13" s="1555" t="s">
        <v>8</v>
      </c>
      <c r="S13" s="1556">
        <f t="shared" si="0"/>
        <v>100</v>
      </c>
      <c r="T13" s="1555" t="s">
        <v>8</v>
      </c>
      <c r="U13" s="1556">
        <f t="shared" si="1"/>
        <v>100</v>
      </c>
      <c r="V13" s="1555" t="s">
        <v>8</v>
      </c>
      <c r="W13" s="1556">
        <f t="shared" si="2"/>
        <v>100</v>
      </c>
      <c r="X13" s="1557"/>
      <c r="Y13" s="3334"/>
      <c r="Z13" s="1146">
        <f t="shared" si="7"/>
        <v>111</v>
      </c>
      <c r="AA13" s="1558">
        <f t="shared" si="3"/>
        <v>1</v>
      </c>
      <c r="AB13" s="1558">
        <f t="shared" si="4"/>
        <v>1</v>
      </c>
      <c r="AC13" s="1558">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7"/>
      <c r="Q14" s="1147">
        <f t="shared" si="6"/>
        <v>111</v>
      </c>
      <c r="R14" s="1555" t="s">
        <v>8</v>
      </c>
      <c r="S14" s="1556">
        <f t="shared" si="0"/>
        <v>100</v>
      </c>
      <c r="T14" s="1555" t="s">
        <v>8</v>
      </c>
      <c r="U14" s="1556">
        <f t="shared" si="1"/>
        <v>100</v>
      </c>
      <c r="V14" s="1555" t="s">
        <v>8</v>
      </c>
      <c r="W14" s="1556">
        <f t="shared" si="2"/>
        <v>100</v>
      </c>
      <c r="X14" s="1557"/>
      <c r="Y14" s="3334"/>
      <c r="Z14" s="1146">
        <f t="shared" si="7"/>
        <v>111</v>
      </c>
      <c r="AA14" s="1558">
        <f t="shared" si="3"/>
        <v>1</v>
      </c>
      <c r="AB14" s="1558">
        <f t="shared" si="4"/>
        <v>1</v>
      </c>
      <c r="AC14" s="1558">
        <f t="shared" si="5"/>
        <v>1</v>
      </c>
    </row>
    <row r="15" spans="1:29" ht="71.25">
      <c r="A15" s="286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9" t="s">
        <v>540</v>
      </c>
      <c r="Q15" s="1559" t="str">
        <f t="shared" si="6"/>
        <v>商业繁华度</v>
      </c>
      <c r="R15" s="1560" t="s">
        <v>8</v>
      </c>
      <c r="S15" s="1561">
        <f t="shared" si="0"/>
        <v>100</v>
      </c>
      <c r="T15" s="1560" t="s">
        <v>8</v>
      </c>
      <c r="U15" s="1561">
        <f t="shared" si="1"/>
        <v>100</v>
      </c>
      <c r="V15" s="1560" t="s">
        <v>8</v>
      </c>
      <c r="W15" s="1561">
        <f t="shared" si="2"/>
        <v>100</v>
      </c>
      <c r="X15" s="1554"/>
      <c r="Y15" s="337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0"/>
      <c r="Q16" s="1559"/>
      <c r="R16" s="1560"/>
      <c r="S16" s="1561"/>
      <c r="T16" s="1560"/>
      <c r="U16" s="1561"/>
      <c r="V16" s="1560"/>
      <c r="W16" s="1561"/>
      <c r="X16" s="1554"/>
      <c r="Y16" s="338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0"/>
      <c r="Q17" s="1559" t="str">
        <f>B17</f>
        <v>交通便捷度</v>
      </c>
      <c r="R17" s="1560" t="s">
        <v>8</v>
      </c>
      <c r="S17" s="1561">
        <f>F17</f>
        <v>100</v>
      </c>
      <c r="T17" s="1560" t="s">
        <v>8</v>
      </c>
      <c r="U17" s="1561">
        <f>H17</f>
        <v>100</v>
      </c>
      <c r="V17" s="1560" t="s">
        <v>8</v>
      </c>
      <c r="W17" s="1561">
        <f>J17</f>
        <v>100</v>
      </c>
      <c r="X17" s="1554"/>
      <c r="Y17" s="338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0"/>
      <c r="Q18" s="1559"/>
      <c r="R18" s="1560"/>
      <c r="S18" s="1561"/>
      <c r="T18" s="1560"/>
      <c r="U18" s="1561"/>
      <c r="V18" s="1560"/>
      <c r="W18" s="1561"/>
      <c r="X18" s="1554"/>
      <c r="Y18" s="3380"/>
      <c r="Z18" s="1562"/>
      <c r="AA18" s="1563">
        <v>1</v>
      </c>
      <c r="AB18" s="1563">
        <v>1</v>
      </c>
      <c r="AC18" s="1563">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0"/>
      <c r="Q19" s="1559" t="str">
        <f>B19</f>
        <v>公共配套设施</v>
      </c>
      <c r="R19" s="1560" t="s">
        <v>8</v>
      </c>
      <c r="S19" s="1561">
        <f>F19</f>
        <v>100</v>
      </c>
      <c r="T19" s="1560" t="s">
        <v>8</v>
      </c>
      <c r="U19" s="1561">
        <f>H19</f>
        <v>100</v>
      </c>
      <c r="V19" s="1560" t="s">
        <v>8</v>
      </c>
      <c r="W19" s="1561">
        <f>J19</f>
        <v>100</v>
      </c>
      <c r="X19" s="1554"/>
      <c r="Y19" s="338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0"/>
      <c r="Q20" s="1559"/>
      <c r="R20" s="1560"/>
      <c r="S20" s="1561"/>
      <c r="T20" s="1560"/>
      <c r="U20" s="1561"/>
      <c r="V20" s="1560"/>
      <c r="W20" s="1561"/>
      <c r="X20" s="1554"/>
      <c r="Y20" s="3380"/>
      <c r="Z20" s="1562"/>
      <c r="AA20" s="1563">
        <v>1</v>
      </c>
      <c r="AB20" s="1563">
        <v>1</v>
      </c>
      <c r="AC20" s="1563">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0"/>
      <c r="Q21" s="2541" t="str">
        <f>B21</f>
        <v>基础设施水平</v>
      </c>
      <c r="R21" s="1560" t="s">
        <v>8</v>
      </c>
      <c r="S21" s="1561">
        <f>F21</f>
        <v>100</v>
      </c>
      <c r="T21" s="1560" t="s">
        <v>8</v>
      </c>
      <c r="U21" s="1561">
        <f>H21</f>
        <v>100</v>
      </c>
      <c r="V21" s="1560" t="s">
        <v>8</v>
      </c>
      <c r="W21" s="1561">
        <f>J21</f>
        <v>100</v>
      </c>
      <c r="X21" s="2543"/>
      <c r="Y21" s="3380"/>
      <c r="Z21" s="2542"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0"/>
      <c r="Q22" s="2541"/>
      <c r="R22" s="1560"/>
      <c r="S22" s="1561"/>
      <c r="T22" s="1560"/>
      <c r="U22" s="1561"/>
      <c r="V22" s="1560"/>
      <c r="W22" s="1561"/>
      <c r="X22" s="2543"/>
      <c r="Y22" s="3380"/>
      <c r="Z22" s="2542"/>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0"/>
      <c r="Q23" s="1559" t="str">
        <f>B23</f>
        <v>自然及人文环境</v>
      </c>
      <c r="R23" s="1560" t="s">
        <v>8</v>
      </c>
      <c r="S23" s="1561">
        <f>F23</f>
        <v>100</v>
      </c>
      <c r="T23" s="1560" t="s">
        <v>8</v>
      </c>
      <c r="U23" s="1561">
        <f>H23</f>
        <v>100</v>
      </c>
      <c r="V23" s="1560" t="s">
        <v>8</v>
      </c>
      <c r="W23" s="1561">
        <f>J23</f>
        <v>100</v>
      </c>
      <c r="X23" s="1554"/>
      <c r="Y23" s="338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0"/>
      <c r="Q24" s="1559"/>
      <c r="R24" s="1560"/>
      <c r="S24" s="1561"/>
      <c r="T24" s="1560"/>
      <c r="U24" s="1561"/>
      <c r="V24" s="1560"/>
      <c r="W24" s="1561"/>
      <c r="X24" s="1554"/>
      <c r="Y24" s="338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0"/>
      <c r="Q25" s="1559" t="str">
        <f t="shared" ref="Q25:Q46" si="11">B25</f>
        <v>临街状况</v>
      </c>
      <c r="R25" s="1560" t="s">
        <v>8</v>
      </c>
      <c r="S25" s="1561">
        <f>F25</f>
        <v>100</v>
      </c>
      <c r="T25" s="1560" t="s">
        <v>8</v>
      </c>
      <c r="U25" s="1561">
        <f>H25</f>
        <v>100</v>
      </c>
      <c r="V25" s="1560" t="s">
        <v>8</v>
      </c>
      <c r="W25" s="1561">
        <f>J25</f>
        <v>100</v>
      </c>
      <c r="X25" s="1554"/>
      <c r="Y25" s="338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0"/>
      <c r="Q26" s="1559" t="str">
        <f t="shared" si="11"/>
        <v>平面位置/可视性</v>
      </c>
      <c r="R26" s="1560" t="s">
        <v>8</v>
      </c>
      <c r="S26" s="1561">
        <f>F26</f>
        <v>100</v>
      </c>
      <c r="T26" s="1560" t="s">
        <v>8</v>
      </c>
      <c r="U26" s="1561">
        <f>H26</f>
        <v>100</v>
      </c>
      <c r="V26" s="1560" t="s">
        <v>8</v>
      </c>
      <c r="W26" s="1561">
        <f>J26</f>
        <v>100</v>
      </c>
      <c r="X26" s="1554"/>
      <c r="Y26" s="338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0"/>
      <c r="Q27" s="1147" t="str">
        <f t="shared" si="11"/>
        <v>人流量</v>
      </c>
      <c r="R27" s="1555" t="s">
        <v>8</v>
      </c>
      <c r="S27" s="1556">
        <f>F27</f>
        <v>100</v>
      </c>
      <c r="T27" s="1555" t="s">
        <v>8</v>
      </c>
      <c r="U27" s="1556">
        <f>H27</f>
        <v>100</v>
      </c>
      <c r="V27" s="1555" t="s">
        <v>8</v>
      </c>
      <c r="W27" s="1556">
        <f>J27</f>
        <v>100</v>
      </c>
      <c r="X27" s="1557"/>
      <c r="Y27" s="338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0"/>
      <c r="Q29" s="1559">
        <f t="shared" si="11"/>
        <v>111</v>
      </c>
      <c r="R29" s="1560" t="s">
        <v>8</v>
      </c>
      <c r="S29" s="1561">
        <f t="shared" si="12"/>
        <v>100</v>
      </c>
      <c r="T29" s="1560" t="s">
        <v>8</v>
      </c>
      <c r="U29" s="1561">
        <f t="shared" si="13"/>
        <v>100</v>
      </c>
      <c r="V29" s="1560" t="s">
        <v>8</v>
      </c>
      <c r="W29" s="1561">
        <f t="shared" si="14"/>
        <v>100</v>
      </c>
      <c r="X29" s="1554"/>
      <c r="Y29" s="338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0"/>
      <c r="Q30" s="1559">
        <f t="shared" si="11"/>
        <v>111</v>
      </c>
      <c r="R30" s="1560" t="s">
        <v>8</v>
      </c>
      <c r="S30" s="1561">
        <f t="shared" si="12"/>
        <v>100</v>
      </c>
      <c r="T30" s="1560" t="s">
        <v>8</v>
      </c>
      <c r="U30" s="1561">
        <f t="shared" si="13"/>
        <v>100</v>
      </c>
      <c r="V30" s="1560" t="s">
        <v>8</v>
      </c>
      <c r="W30" s="1561">
        <f t="shared" si="14"/>
        <v>100</v>
      </c>
      <c r="X30" s="1554"/>
      <c r="Y30" s="338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0"/>
      <c r="Q31" s="1559">
        <f t="shared" si="11"/>
        <v>111</v>
      </c>
      <c r="R31" s="1560" t="s">
        <v>8</v>
      </c>
      <c r="S31" s="1561">
        <f t="shared" si="12"/>
        <v>100</v>
      </c>
      <c r="T31" s="1560" t="s">
        <v>8</v>
      </c>
      <c r="U31" s="1561">
        <f t="shared" si="13"/>
        <v>100</v>
      </c>
      <c r="V31" s="1560" t="s">
        <v>8</v>
      </c>
      <c r="W31" s="1561">
        <f t="shared" si="14"/>
        <v>100</v>
      </c>
      <c r="X31" s="1554"/>
      <c r="Y31" s="3380"/>
      <c r="Z31" s="1562">
        <f t="shared" si="15"/>
        <v>111</v>
      </c>
      <c r="AA31" s="1563">
        <f t="shared" si="3"/>
        <v>1</v>
      </c>
      <c r="AB31" s="1563">
        <f t="shared" si="4"/>
        <v>1</v>
      </c>
      <c r="AC31" s="1563">
        <f t="shared" si="5"/>
        <v>1</v>
      </c>
    </row>
    <row r="32" spans="1:29" ht="15">
      <c r="A32" s="2860"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1" t="s">
        <v>550</v>
      </c>
      <c r="Q32" s="1559" t="str">
        <f t="shared" si="11"/>
        <v>商业类型</v>
      </c>
      <c r="R32" s="1560" t="s">
        <v>8</v>
      </c>
      <c r="S32" s="1561">
        <f t="shared" si="12"/>
        <v>100</v>
      </c>
      <c r="T32" s="1560" t="s">
        <v>8</v>
      </c>
      <c r="U32" s="1561">
        <f t="shared" si="13"/>
        <v>100</v>
      </c>
      <c r="V32" s="1560" t="s">
        <v>8</v>
      </c>
      <c r="W32" s="1561">
        <f t="shared" si="14"/>
        <v>100</v>
      </c>
      <c r="X32" s="1554"/>
      <c r="Y32" s="338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2"/>
      <c r="Q33" s="1591" t="str">
        <f t="shared" si="11"/>
        <v>项目建筑规模</v>
      </c>
      <c r="R33" s="1564" t="s">
        <v>8</v>
      </c>
      <c r="S33" s="1565" t="e">
        <f t="shared" si="12"/>
        <v>#N/A</v>
      </c>
      <c r="T33" s="1564" t="s">
        <v>8</v>
      </c>
      <c r="U33" s="1565" t="e">
        <f t="shared" si="13"/>
        <v>#N/A</v>
      </c>
      <c r="V33" s="1564" t="s">
        <v>8</v>
      </c>
      <c r="W33" s="1565" t="e">
        <f t="shared" si="14"/>
        <v>#N/A</v>
      </c>
      <c r="X33" s="1566"/>
      <c r="Y33" s="338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2"/>
      <c r="Q34" s="1559" t="str">
        <f t="shared" si="11"/>
        <v>建筑结构</v>
      </c>
      <c r="R34" s="1560" t="s">
        <v>8</v>
      </c>
      <c r="S34" s="1561">
        <f t="shared" si="12"/>
        <v>100</v>
      </c>
      <c r="T34" s="1560" t="s">
        <v>8</v>
      </c>
      <c r="U34" s="1561">
        <f t="shared" si="13"/>
        <v>100</v>
      </c>
      <c r="V34" s="1560" t="s">
        <v>8</v>
      </c>
      <c r="W34" s="1561">
        <f t="shared" si="14"/>
        <v>100</v>
      </c>
      <c r="X34" s="1554"/>
      <c r="Y34" s="338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2"/>
      <c r="Q35" s="1559" t="str">
        <f t="shared" si="11"/>
        <v>公共部分装修</v>
      </c>
      <c r="R35" s="1560" t="s">
        <v>8</v>
      </c>
      <c r="S35" s="1561">
        <f t="shared" si="12"/>
        <v>100</v>
      </c>
      <c r="T35" s="1560" t="s">
        <v>8</v>
      </c>
      <c r="U35" s="1561">
        <f t="shared" si="13"/>
        <v>100</v>
      </c>
      <c r="V35" s="1560" t="s">
        <v>8</v>
      </c>
      <c r="W35" s="1561">
        <f t="shared" si="14"/>
        <v>100</v>
      </c>
      <c r="X35" s="1554"/>
      <c r="Y35" s="338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2"/>
      <c r="Q36" s="1559" t="str">
        <f t="shared" si="11"/>
        <v>成新度</v>
      </c>
      <c r="R36" s="1560" t="s">
        <v>8</v>
      </c>
      <c r="S36" s="1561" t="e">
        <f t="shared" si="12"/>
        <v>#N/A</v>
      </c>
      <c r="T36" s="1560" t="s">
        <v>8</v>
      </c>
      <c r="U36" s="1561" t="e">
        <f t="shared" si="13"/>
        <v>#N/A</v>
      </c>
      <c r="V36" s="1560" t="s">
        <v>8</v>
      </c>
      <c r="W36" s="1561" t="e">
        <f t="shared" si="14"/>
        <v>#N/A</v>
      </c>
      <c r="X36" s="1554"/>
      <c r="Y36" s="3382"/>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2"/>
      <c r="Q37" s="1147" t="str">
        <f t="shared" si="11"/>
        <v>市政基础设施</v>
      </c>
      <c r="R37" s="1555" t="s">
        <v>8</v>
      </c>
      <c r="S37" s="1556">
        <f t="shared" si="12"/>
        <v>100</v>
      </c>
      <c r="T37" s="1555" t="s">
        <v>8</v>
      </c>
      <c r="U37" s="1556">
        <f t="shared" si="13"/>
        <v>100</v>
      </c>
      <c r="V37" s="1555" t="s">
        <v>8</v>
      </c>
      <c r="W37" s="1556">
        <f t="shared" si="14"/>
        <v>100</v>
      </c>
      <c r="X37" s="1557"/>
      <c r="Y37" s="338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2" t="s">
        <v>766</v>
      </c>
      <c r="Q38" s="1559" t="str">
        <f t="shared" si="11"/>
        <v>业态</v>
      </c>
      <c r="R38" s="1560" t="s">
        <v>8</v>
      </c>
      <c r="S38" s="1561">
        <f t="shared" si="12"/>
        <v>100</v>
      </c>
      <c r="T38" s="1560" t="s">
        <v>8</v>
      </c>
      <c r="U38" s="1561">
        <f t="shared" si="13"/>
        <v>100</v>
      </c>
      <c r="V38" s="1560" t="s">
        <v>8</v>
      </c>
      <c r="W38" s="1561">
        <f t="shared" si="14"/>
        <v>100</v>
      </c>
      <c r="X38" s="1554"/>
      <c r="Y38" s="338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2"/>
      <c r="Q39" s="1559" t="str">
        <f t="shared" si="11"/>
        <v>层高</v>
      </c>
      <c r="R39" s="1560" t="s">
        <v>8</v>
      </c>
      <c r="S39" s="1561">
        <f t="shared" si="12"/>
        <v>100</v>
      </c>
      <c r="T39" s="1560" t="s">
        <v>8</v>
      </c>
      <c r="U39" s="1561">
        <f t="shared" si="13"/>
        <v>100</v>
      </c>
      <c r="V39" s="1560" t="s">
        <v>8</v>
      </c>
      <c r="W39" s="1561">
        <f t="shared" si="14"/>
        <v>100</v>
      </c>
      <c r="X39" s="1554"/>
      <c r="Y39" s="338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2"/>
      <c r="Q40" s="1559" t="str">
        <f t="shared" si="11"/>
        <v>单套建筑面积</v>
      </c>
      <c r="R40" s="1560" t="s">
        <v>8</v>
      </c>
      <c r="S40" s="1561">
        <f t="shared" si="12"/>
        <v>100</v>
      </c>
      <c r="T40" s="1560" t="s">
        <v>8</v>
      </c>
      <c r="U40" s="1561">
        <f t="shared" si="13"/>
        <v>100</v>
      </c>
      <c r="V40" s="1560" t="s">
        <v>8</v>
      </c>
      <c r="W40" s="1561">
        <f t="shared" si="14"/>
        <v>100</v>
      </c>
      <c r="X40" s="1554"/>
      <c r="Y40" s="338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2"/>
      <c r="Q41" s="1591" t="str">
        <f t="shared" si="11"/>
        <v>进深比</v>
      </c>
      <c r="R41" s="1564" t="s">
        <v>8</v>
      </c>
      <c r="S41" s="1565">
        <f t="shared" si="12"/>
        <v>100</v>
      </c>
      <c r="T41" s="1564" t="s">
        <v>8</v>
      </c>
      <c r="U41" s="1565">
        <f t="shared" si="13"/>
        <v>100</v>
      </c>
      <c r="V41" s="1564" t="s">
        <v>8</v>
      </c>
      <c r="W41" s="1565">
        <f t="shared" si="14"/>
        <v>100</v>
      </c>
      <c r="X41" s="1566"/>
      <c r="Y41" s="338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2"/>
      <c r="Q42" s="1559" t="str">
        <f t="shared" si="11"/>
        <v>内部装修</v>
      </c>
      <c r="R42" s="1560" t="s">
        <v>8</v>
      </c>
      <c r="S42" s="1561">
        <f t="shared" si="12"/>
        <v>100</v>
      </c>
      <c r="T42" s="1560" t="s">
        <v>8</v>
      </c>
      <c r="U42" s="1561">
        <f t="shared" si="13"/>
        <v>100</v>
      </c>
      <c r="V42" s="1560" t="s">
        <v>8</v>
      </c>
      <c r="W42" s="1561">
        <f t="shared" si="14"/>
        <v>100</v>
      </c>
      <c r="X42" s="1554"/>
      <c r="Y42" s="338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2"/>
      <c r="Q43" s="1559" t="str">
        <f t="shared" si="11"/>
        <v>内部装修维护情况</v>
      </c>
      <c r="R43" s="1560" t="s">
        <v>8</v>
      </c>
      <c r="S43" s="1561">
        <f t="shared" si="12"/>
        <v>100</v>
      </c>
      <c r="T43" s="1560" t="s">
        <v>8</v>
      </c>
      <c r="U43" s="1561">
        <f t="shared" si="13"/>
        <v>100</v>
      </c>
      <c r="V43" s="1560" t="s">
        <v>8</v>
      </c>
      <c r="W43" s="1561">
        <f t="shared" si="14"/>
        <v>100</v>
      </c>
      <c r="X43" s="1554"/>
      <c r="Y43" s="338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2"/>
      <c r="Q44" s="1147">
        <f t="shared" si="11"/>
        <v>111</v>
      </c>
      <c r="R44" s="1555" t="s">
        <v>8</v>
      </c>
      <c r="S44" s="1556">
        <f t="shared" si="12"/>
        <v>100</v>
      </c>
      <c r="T44" s="1555" t="s">
        <v>8</v>
      </c>
      <c r="U44" s="1556">
        <f t="shared" si="13"/>
        <v>100</v>
      </c>
      <c r="V44" s="1555" t="s">
        <v>8</v>
      </c>
      <c r="W44" s="1556">
        <f t="shared" si="14"/>
        <v>100</v>
      </c>
      <c r="X44" s="1557"/>
      <c r="Y44" s="338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2"/>
      <c r="Q45" s="1559">
        <f t="shared" si="11"/>
        <v>111</v>
      </c>
      <c r="R45" s="1560" t="s">
        <v>8</v>
      </c>
      <c r="S45" s="1561">
        <f t="shared" si="12"/>
        <v>100</v>
      </c>
      <c r="T45" s="1560" t="s">
        <v>8</v>
      </c>
      <c r="U45" s="1561">
        <f t="shared" si="13"/>
        <v>100</v>
      </c>
      <c r="V45" s="1560" t="s">
        <v>8</v>
      </c>
      <c r="W45" s="1561">
        <f t="shared" si="14"/>
        <v>100</v>
      </c>
      <c r="X45" s="1554"/>
      <c r="Y45" s="338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2"/>
      <c r="Q46" s="1559">
        <f t="shared" si="11"/>
        <v>111</v>
      </c>
      <c r="R46" s="1560" t="s">
        <v>8</v>
      </c>
      <c r="S46" s="1561">
        <f t="shared" si="12"/>
        <v>100</v>
      </c>
      <c r="T46" s="1560" t="s">
        <v>8</v>
      </c>
      <c r="U46" s="1561">
        <f t="shared" si="13"/>
        <v>100</v>
      </c>
      <c r="V46" s="1560" t="s">
        <v>8</v>
      </c>
      <c r="W46" s="1561">
        <f t="shared" si="14"/>
        <v>100</v>
      </c>
      <c r="X46" s="1554"/>
      <c r="Y46" s="3482"/>
      <c r="Z46" s="1562">
        <f t="shared" si="15"/>
        <v>111</v>
      </c>
      <c r="AA46" s="1563">
        <f t="shared" si="3"/>
        <v>1</v>
      </c>
      <c r="AB46" s="1563">
        <f t="shared" si="4"/>
        <v>1</v>
      </c>
      <c r="AC46" s="1563">
        <f t="shared" si="5"/>
        <v>1</v>
      </c>
    </row>
    <row r="47" spans="1:29" ht="15">
      <c r="A47" s="607" t="s">
        <v>736</v>
      </c>
      <c r="B47" s="887"/>
      <c r="C47" s="2589" t="s">
        <v>1</v>
      </c>
      <c r="D47" s="2590"/>
      <c r="E47" s="2591"/>
      <c r="F47" s="2592"/>
      <c r="G47" s="2593"/>
      <c r="H47" s="2594"/>
      <c r="I47" s="2591"/>
      <c r="J47" s="2594"/>
      <c r="K47" s="1597"/>
      <c r="L47" s="2130"/>
      <c r="M47" s="2131"/>
      <c r="N47" s="2120"/>
      <c r="O47" s="2131"/>
      <c r="P47" s="3377" t="str">
        <f>A47</f>
        <v>成交单价（元/平方米）</v>
      </c>
      <c r="Q47" s="3377"/>
      <c r="R47" s="3481">
        <f>E47</f>
        <v>0</v>
      </c>
      <c r="S47" s="3481"/>
      <c r="T47" s="3481">
        <f>G47</f>
        <v>0</v>
      </c>
      <c r="U47" s="3481"/>
      <c r="V47" s="3481">
        <f>I47</f>
        <v>0</v>
      </c>
      <c r="W47" s="3481"/>
      <c r="X47" s="1546"/>
      <c r="Y47" s="1568"/>
      <c r="Z47" s="1546"/>
      <c r="AA47" s="1546"/>
      <c r="AB47" s="1546"/>
      <c r="AC47" s="1546"/>
    </row>
    <row r="48" spans="1:29" ht="15.75" thickBot="1">
      <c r="A48" s="615" t="s">
        <v>2760</v>
      </c>
      <c r="B48" s="888"/>
      <c r="C48" s="2595" t="e">
        <f>R49</f>
        <v>#DIV/0!</v>
      </c>
      <c r="D48" s="2596"/>
      <c r="E48" s="2597" t="e">
        <f>R48</f>
        <v>#DIV/0!</v>
      </c>
      <c r="F48" s="2597"/>
      <c r="G48" s="2595" t="e">
        <f>T48</f>
        <v>#DIV/0!</v>
      </c>
      <c r="H48" s="2596"/>
      <c r="I48" s="2597" t="e">
        <f>V48</f>
        <v>#DIV/0!</v>
      </c>
      <c r="J48" s="2596"/>
      <c r="K48" s="1598"/>
      <c r="L48" s="2130"/>
      <c r="M48" s="2131"/>
      <c r="N48" s="2120"/>
      <c r="O48" s="2131"/>
      <c r="P48" s="3377" t="str">
        <f>A48</f>
        <v>比较价格（元/平方米）</v>
      </c>
      <c r="Q48" s="3377"/>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2934</v>
      </c>
      <c r="B49" s="622"/>
      <c r="C49" s="2598" t="e">
        <f>R49</f>
        <v>#DIV/0!</v>
      </c>
      <c r="D49" s="2598"/>
      <c r="E49" s="2598"/>
      <c r="F49" s="2598"/>
      <c r="G49" s="2598"/>
      <c r="H49" s="2598"/>
      <c r="I49" s="2598"/>
      <c r="J49" s="2598"/>
      <c r="K49" s="1599"/>
      <c r="L49" s="2130"/>
      <c r="M49" s="2131"/>
      <c r="N49" s="2120"/>
      <c r="O49" s="2131"/>
      <c r="P49" s="3398" t="str">
        <f>A49</f>
        <v>估价对象XX用房的比较价格（楼面单价，元/平方米）</v>
      </c>
      <c r="Q49" s="3399"/>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5" t="str">
        <f>YEAR(C7)&amp;"-"&amp;MONTH(C7)</f>
        <v>2019-5</v>
      </c>
      <c r="D58" s="2757">
        <f>EDATE(C58,-1)</f>
        <v>43556</v>
      </c>
      <c r="E58" s="2757">
        <f t="shared" ref="E58:O58" si="16">EDATE(D58,-1)</f>
        <v>43525</v>
      </c>
      <c r="F58" s="2757">
        <f t="shared" si="16"/>
        <v>43497</v>
      </c>
      <c r="G58" s="2757">
        <f t="shared" si="16"/>
        <v>43466</v>
      </c>
      <c r="H58" s="2757">
        <f t="shared" si="16"/>
        <v>43435</v>
      </c>
      <c r="I58" s="2757">
        <f t="shared" si="16"/>
        <v>43405</v>
      </c>
      <c r="J58" s="2757">
        <f t="shared" si="16"/>
        <v>43374</v>
      </c>
      <c r="K58" s="2757">
        <f t="shared" si="16"/>
        <v>43344</v>
      </c>
      <c r="L58" s="2757">
        <f t="shared" si="16"/>
        <v>43313</v>
      </c>
      <c r="M58" s="2757">
        <f t="shared" si="16"/>
        <v>43282</v>
      </c>
      <c r="N58" s="2757">
        <f t="shared" si="16"/>
        <v>43252</v>
      </c>
      <c r="O58" s="2757">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0"/>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3" t="s">
        <v>522</v>
      </c>
      <c r="D4" s="3384"/>
      <c r="E4" s="3413" t="s">
        <v>523</v>
      </c>
      <c r="F4" s="3414"/>
      <c r="G4" s="3383" t="s">
        <v>524</v>
      </c>
      <c r="H4" s="3384"/>
      <c r="I4" s="3383" t="s">
        <v>525</v>
      </c>
      <c r="J4" s="3384"/>
      <c r="K4" s="514" t="s">
        <v>526</v>
      </c>
      <c r="L4" s="2119"/>
      <c r="M4" s="2120"/>
      <c r="N4" s="2120"/>
      <c r="O4" s="2120"/>
      <c r="P4" s="3483" t="s">
        <v>527</v>
      </c>
      <c r="Q4" s="3386"/>
      <c r="R4" s="3371" t="s">
        <v>523</v>
      </c>
      <c r="S4" s="3372"/>
      <c r="T4" s="3371" t="s">
        <v>524</v>
      </c>
      <c r="U4" s="3372"/>
      <c r="V4" s="3391" t="s">
        <v>525</v>
      </c>
      <c r="W4" s="3391"/>
      <c r="X4" s="1554"/>
      <c r="Y4" s="3371" t="s">
        <v>527</v>
      </c>
      <c r="Z4" s="3372"/>
      <c r="AA4" s="3366" t="s">
        <v>523</v>
      </c>
      <c r="AB4" s="3366" t="s">
        <v>524</v>
      </c>
      <c r="AC4" s="3366" t="s">
        <v>525</v>
      </c>
    </row>
    <row r="5" spans="1:29" ht="15">
      <c r="A5" s="515"/>
      <c r="B5" s="516"/>
      <c r="C5" s="3394" t="s">
        <v>2928</v>
      </c>
      <c r="D5" s="3395"/>
      <c r="E5" s="3415" t="s">
        <v>2929</v>
      </c>
      <c r="F5" s="3416"/>
      <c r="G5" s="3394" t="s">
        <v>2930</v>
      </c>
      <c r="H5" s="3395"/>
      <c r="I5" s="3394" t="s">
        <v>2931</v>
      </c>
      <c r="J5" s="3395"/>
      <c r="K5" s="514"/>
      <c r="L5" s="2119"/>
      <c r="M5" s="2120"/>
      <c r="N5" s="2120"/>
      <c r="O5" s="2120"/>
      <c r="P5" s="3484"/>
      <c r="Q5" s="3388"/>
      <c r="R5" s="3373"/>
      <c r="S5" s="3374"/>
      <c r="T5" s="3373"/>
      <c r="U5" s="3374"/>
      <c r="V5" s="3391"/>
      <c r="W5" s="3391"/>
      <c r="X5" s="1554"/>
      <c r="Y5" s="3373"/>
      <c r="Z5" s="3374"/>
      <c r="AA5" s="3367"/>
      <c r="AB5" s="3367"/>
      <c r="AC5" s="3367"/>
    </row>
    <row r="6" spans="1:29" ht="15.75" thickBot="1">
      <c r="A6" s="517"/>
      <c r="B6" s="518"/>
      <c r="C6" s="3392" t="s">
        <v>2932</v>
      </c>
      <c r="D6" s="3393"/>
      <c r="E6" s="3417" t="s">
        <v>2932</v>
      </c>
      <c r="F6" s="3418"/>
      <c r="G6" s="3392" t="s">
        <v>2932</v>
      </c>
      <c r="H6" s="3393"/>
      <c r="I6" s="3392" t="s">
        <v>2932</v>
      </c>
      <c r="J6" s="3393"/>
      <c r="K6" s="514" t="s">
        <v>528</v>
      </c>
      <c r="L6" s="2119"/>
      <c r="M6" s="2120"/>
      <c r="N6" s="2120"/>
      <c r="O6" s="2120"/>
      <c r="P6" s="3485"/>
      <c r="Q6" s="3390"/>
      <c r="R6" s="3373"/>
      <c r="S6" s="3374"/>
      <c r="T6" s="3375"/>
      <c r="U6" s="3376"/>
      <c r="V6" s="3391"/>
      <c r="W6" s="3391"/>
      <c r="X6" s="1554"/>
      <c r="Y6" s="3375"/>
      <c r="Z6" s="3376"/>
      <c r="AA6" s="3368"/>
      <c r="AB6" s="3368"/>
      <c r="AC6" s="3368"/>
    </row>
    <row r="7" spans="1:29" s="1216" customFormat="1" ht="15.75" thickBot="1">
      <c r="A7" s="2865"/>
      <c r="B7" s="2872" t="s">
        <v>529</v>
      </c>
      <c r="C7" s="519">
        <f>'数据-取费表'!B2</f>
        <v>43599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8" t="s">
        <v>530</v>
      </c>
      <c r="Q7" s="3378"/>
      <c r="R7" s="1555" t="s">
        <v>8</v>
      </c>
      <c r="S7" s="1556">
        <f t="shared" ref="S7:S15" si="0">F7</f>
        <v>0</v>
      </c>
      <c r="T7" s="1555" t="s">
        <v>8</v>
      </c>
      <c r="U7" s="1556">
        <f t="shared" ref="U7:U15" si="1">H7</f>
        <v>0</v>
      </c>
      <c r="V7" s="1555" t="s">
        <v>8</v>
      </c>
      <c r="W7" s="1556">
        <f t="shared" ref="W7:W15" si="2">J7</f>
        <v>0</v>
      </c>
      <c r="X7" s="1557"/>
      <c r="Y7" s="3369" t="s">
        <v>530</v>
      </c>
      <c r="Z7" s="3370"/>
      <c r="AA7" s="1558" t="e">
        <f>D7/F7</f>
        <v>#DIV/0!</v>
      </c>
      <c r="AB7" s="1558" t="e">
        <f>D7/H7</f>
        <v>#DIV/0!</v>
      </c>
      <c r="AC7" s="1558" t="e">
        <f>D7/J7</f>
        <v>#DIV/0!</v>
      </c>
    </row>
    <row r="8" spans="1:29" s="1216"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8" t="s">
        <v>533</v>
      </c>
      <c r="Q8" s="3370"/>
      <c r="R8" s="1555" t="s">
        <v>8</v>
      </c>
      <c r="S8" s="1556">
        <f t="shared" si="0"/>
        <v>0</v>
      </c>
      <c r="T8" s="1555" t="s">
        <v>8</v>
      </c>
      <c r="U8" s="1556">
        <f t="shared" si="1"/>
        <v>0</v>
      </c>
      <c r="V8" s="1555" t="s">
        <v>8</v>
      </c>
      <c r="W8" s="1556">
        <f t="shared" si="2"/>
        <v>0</v>
      </c>
      <c r="X8" s="1557"/>
      <c r="Y8" s="3369" t="s">
        <v>533</v>
      </c>
      <c r="Z8" s="3370"/>
      <c r="AA8" s="1558" t="e">
        <f t="shared" ref="AA8:AA47" si="3">D8/F8</f>
        <v>#DIV/0!</v>
      </c>
      <c r="AB8" s="1558" t="e">
        <f t="shared" ref="AB8:AB47" si="4">D8/H8</f>
        <v>#DIV/0!</v>
      </c>
      <c r="AC8" s="1558" t="e">
        <f t="shared" ref="AC8:AC47" si="5">D8/J8</f>
        <v>#DIV/0!</v>
      </c>
    </row>
    <row r="9" spans="1:29" s="1216" customFormat="1" ht="15">
      <c r="A9" s="2867"/>
      <c r="B9" s="2874"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7" t="s">
        <v>535</v>
      </c>
      <c r="Q9" s="1147" t="str">
        <f t="shared" ref="Q9:Q15" si="6">B9</f>
        <v>用途</v>
      </c>
      <c r="R9" s="1555" t="s">
        <v>8</v>
      </c>
      <c r="S9" s="1556">
        <f t="shared" si="0"/>
        <v>100</v>
      </c>
      <c r="T9" s="1555" t="s">
        <v>8</v>
      </c>
      <c r="U9" s="1556">
        <f t="shared" si="1"/>
        <v>100</v>
      </c>
      <c r="V9" s="1555" t="s">
        <v>8</v>
      </c>
      <c r="W9" s="1556">
        <f t="shared" si="2"/>
        <v>100</v>
      </c>
      <c r="X9" s="1557"/>
      <c r="Y9" s="3334"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7"/>
      <c r="Q10" s="1147" t="str">
        <f t="shared" si="6"/>
        <v>土地使用年限（年）</v>
      </c>
      <c r="R10" s="1555" t="s">
        <v>8</v>
      </c>
      <c r="S10" s="1556">
        <f t="shared" si="0"/>
        <v>100</v>
      </c>
      <c r="T10" s="1555" t="s">
        <v>8</v>
      </c>
      <c r="U10" s="1556">
        <f t="shared" si="1"/>
        <v>100</v>
      </c>
      <c r="V10" s="1555" t="s">
        <v>8</v>
      </c>
      <c r="W10" s="1556">
        <f t="shared" si="2"/>
        <v>100</v>
      </c>
      <c r="X10" s="1557"/>
      <c r="Y10" s="3334"/>
      <c r="Z10" s="1146" t="str">
        <f t="shared" si="7"/>
        <v>土地使用年限（年）</v>
      </c>
      <c r="AA10" s="1558">
        <f t="shared" si="3"/>
        <v>1</v>
      </c>
      <c r="AB10" s="1558">
        <f t="shared" si="4"/>
        <v>1</v>
      </c>
      <c r="AC10" s="1558">
        <f t="shared" si="5"/>
        <v>1</v>
      </c>
    </row>
    <row r="11" spans="1:29" ht="15">
      <c r="A11" s="2869"/>
      <c r="B11" s="287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7"/>
      <c r="Q11" s="1147" t="str">
        <f t="shared" si="6"/>
        <v>容积率</v>
      </c>
      <c r="R11" s="1555" t="s">
        <v>8</v>
      </c>
      <c r="S11" s="1556" t="e">
        <f t="shared" si="0"/>
        <v>#N/A</v>
      </c>
      <c r="T11" s="1555" t="s">
        <v>8</v>
      </c>
      <c r="U11" s="1556" t="e">
        <f t="shared" si="1"/>
        <v>#N/A</v>
      </c>
      <c r="V11" s="1555" t="s">
        <v>8</v>
      </c>
      <c r="W11" s="1556" t="e">
        <f t="shared" si="2"/>
        <v>#N/A</v>
      </c>
      <c r="X11" s="1557"/>
      <c r="Y11" s="3334"/>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7"/>
      <c r="Q12" s="1147">
        <f t="shared" si="6"/>
        <v>111</v>
      </c>
      <c r="R12" s="1555" t="s">
        <v>8</v>
      </c>
      <c r="S12" s="1556">
        <f t="shared" si="0"/>
        <v>100</v>
      </c>
      <c r="T12" s="1555" t="s">
        <v>8</v>
      </c>
      <c r="U12" s="1556">
        <f t="shared" si="1"/>
        <v>100</v>
      </c>
      <c r="V12" s="1555" t="s">
        <v>8</v>
      </c>
      <c r="W12" s="1556">
        <f t="shared" si="2"/>
        <v>100</v>
      </c>
      <c r="X12" s="1557"/>
      <c r="Y12" s="3334"/>
      <c r="Z12" s="1146">
        <f t="shared" si="7"/>
        <v>111</v>
      </c>
      <c r="AA12" s="1558">
        <f>D12/F12</f>
        <v>1</v>
      </c>
      <c r="AB12" s="1558">
        <f>D12/H12</f>
        <v>1</v>
      </c>
      <c r="AC12" s="1558">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7"/>
      <c r="Q13" s="1147">
        <f t="shared" si="6"/>
        <v>111</v>
      </c>
      <c r="R13" s="1555" t="s">
        <v>8</v>
      </c>
      <c r="S13" s="1556">
        <f t="shared" si="0"/>
        <v>100</v>
      </c>
      <c r="T13" s="1555" t="s">
        <v>8</v>
      </c>
      <c r="U13" s="1556">
        <f t="shared" si="1"/>
        <v>100</v>
      </c>
      <c r="V13" s="1555" t="s">
        <v>8</v>
      </c>
      <c r="W13" s="1556">
        <f t="shared" si="2"/>
        <v>100</v>
      </c>
      <c r="X13" s="1557"/>
      <c r="Y13" s="3334"/>
      <c r="Z13" s="1146">
        <f t="shared" si="7"/>
        <v>111</v>
      </c>
      <c r="AA13" s="1558">
        <f t="shared" si="3"/>
        <v>1</v>
      </c>
      <c r="AB13" s="1558">
        <f t="shared" si="4"/>
        <v>1</v>
      </c>
      <c r="AC13" s="1558">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7"/>
      <c r="Q14" s="1147">
        <f t="shared" si="6"/>
        <v>111</v>
      </c>
      <c r="R14" s="1555" t="s">
        <v>8</v>
      </c>
      <c r="S14" s="1556">
        <f t="shared" si="0"/>
        <v>100</v>
      </c>
      <c r="T14" s="1555" t="s">
        <v>8</v>
      </c>
      <c r="U14" s="1556">
        <f t="shared" si="1"/>
        <v>100</v>
      </c>
      <c r="V14" s="1555" t="s">
        <v>8</v>
      </c>
      <c r="W14" s="1556">
        <f t="shared" si="2"/>
        <v>100</v>
      </c>
      <c r="X14" s="1557"/>
      <c r="Y14" s="3334"/>
      <c r="Z14" s="1146">
        <f t="shared" si="7"/>
        <v>111</v>
      </c>
      <c r="AA14" s="1558">
        <f t="shared" si="3"/>
        <v>1</v>
      </c>
      <c r="AB14" s="1558">
        <f t="shared" si="4"/>
        <v>1</v>
      </c>
      <c r="AC14" s="1558">
        <f t="shared" si="5"/>
        <v>1</v>
      </c>
    </row>
    <row r="15" spans="1:29" ht="71.25">
      <c r="A15" s="286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9" t="s">
        <v>540</v>
      </c>
      <c r="Q15" s="1559" t="str">
        <f t="shared" si="6"/>
        <v>办公集聚程度</v>
      </c>
      <c r="R15" s="1560" t="s">
        <v>8</v>
      </c>
      <c r="S15" s="1561">
        <f t="shared" si="0"/>
        <v>100</v>
      </c>
      <c r="T15" s="1560" t="s">
        <v>8</v>
      </c>
      <c r="U15" s="1561">
        <f t="shared" si="1"/>
        <v>100</v>
      </c>
      <c r="V15" s="1560" t="s">
        <v>8</v>
      </c>
      <c r="W15" s="1561">
        <f t="shared" si="2"/>
        <v>100</v>
      </c>
      <c r="X15" s="1554"/>
      <c r="Y15" s="337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0"/>
      <c r="Q16" s="1559"/>
      <c r="R16" s="1560"/>
      <c r="S16" s="1561"/>
      <c r="T16" s="1560"/>
      <c r="U16" s="1561"/>
      <c r="V16" s="1560"/>
      <c r="W16" s="1561"/>
      <c r="X16" s="1554"/>
      <c r="Y16" s="338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0"/>
      <c r="Q17" s="1559" t="str">
        <f>B17</f>
        <v>交通便捷度</v>
      </c>
      <c r="R17" s="1560" t="s">
        <v>8</v>
      </c>
      <c r="S17" s="1561">
        <f>F17</f>
        <v>100</v>
      </c>
      <c r="T17" s="1560" t="s">
        <v>8</v>
      </c>
      <c r="U17" s="1561">
        <f>H17</f>
        <v>100</v>
      </c>
      <c r="V17" s="1560" t="s">
        <v>8</v>
      </c>
      <c r="W17" s="1561">
        <f>J17</f>
        <v>100</v>
      </c>
      <c r="X17" s="1554"/>
      <c r="Y17" s="338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0"/>
      <c r="Q18" s="1559"/>
      <c r="R18" s="1560"/>
      <c r="S18" s="1561"/>
      <c r="T18" s="1560"/>
      <c r="U18" s="1561"/>
      <c r="V18" s="1560"/>
      <c r="W18" s="1561"/>
      <c r="X18" s="1554"/>
      <c r="Y18" s="3380"/>
      <c r="Z18" s="1562"/>
      <c r="AA18" s="1563">
        <v>1</v>
      </c>
      <c r="AB18" s="1563">
        <v>1</v>
      </c>
      <c r="AC18" s="1563">
        <v>1</v>
      </c>
    </row>
    <row r="19" spans="1:29" ht="42.75">
      <c r="A19" s="532"/>
      <c r="B19" s="2565"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0"/>
      <c r="Q19" s="1559" t="str">
        <f>B19</f>
        <v>公共配套设施</v>
      </c>
      <c r="R19" s="1560" t="s">
        <v>8</v>
      </c>
      <c r="S19" s="1561">
        <f>F19</f>
        <v>100</v>
      </c>
      <c r="T19" s="1560" t="s">
        <v>8</v>
      </c>
      <c r="U19" s="1561">
        <f>H19</f>
        <v>100</v>
      </c>
      <c r="V19" s="1560" t="s">
        <v>8</v>
      </c>
      <c r="W19" s="1561">
        <f>J19</f>
        <v>100</v>
      </c>
      <c r="X19" s="1554"/>
      <c r="Y19" s="338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0"/>
      <c r="Q20" s="1559"/>
      <c r="R20" s="1560"/>
      <c r="S20" s="1561"/>
      <c r="T20" s="1560"/>
      <c r="U20" s="1561"/>
      <c r="V20" s="1560"/>
      <c r="W20" s="1561"/>
      <c r="X20" s="1554"/>
      <c r="Y20" s="3380"/>
      <c r="Z20" s="1562"/>
      <c r="AA20" s="1563">
        <v>1</v>
      </c>
      <c r="AB20" s="1563">
        <v>1</v>
      </c>
      <c r="AC20" s="1563">
        <v>1</v>
      </c>
    </row>
    <row r="21" spans="1:29" ht="28.5">
      <c r="A21" s="532"/>
      <c r="B21" s="2553"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0"/>
      <c r="Q21" s="2541" t="str">
        <f>B21</f>
        <v>基础设施水平</v>
      </c>
      <c r="R21" s="1560" t="s">
        <v>8</v>
      </c>
      <c r="S21" s="1561">
        <f>F21</f>
        <v>100</v>
      </c>
      <c r="T21" s="1560" t="s">
        <v>8</v>
      </c>
      <c r="U21" s="1561">
        <f>H21</f>
        <v>100</v>
      </c>
      <c r="V21" s="1560" t="s">
        <v>8</v>
      </c>
      <c r="W21" s="1561">
        <f>J21</f>
        <v>100</v>
      </c>
      <c r="X21" s="2543"/>
      <c r="Y21" s="3380"/>
      <c r="Z21" s="2542"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4"/>
      <c r="L22" s="2128"/>
      <c r="M22" s="2120"/>
      <c r="N22" s="2120"/>
      <c r="O22" s="2120"/>
      <c r="P22" s="3380"/>
      <c r="Q22" s="2541"/>
      <c r="R22" s="1560"/>
      <c r="S22" s="1561"/>
      <c r="T22" s="1560"/>
      <c r="U22" s="1561"/>
      <c r="V22" s="1560"/>
      <c r="W22" s="1561"/>
      <c r="X22" s="2543"/>
      <c r="Y22" s="3380"/>
      <c r="Z22" s="2542"/>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0"/>
      <c r="Q23" s="1559" t="str">
        <f>B23</f>
        <v>环境质量</v>
      </c>
      <c r="R23" s="1560" t="s">
        <v>8</v>
      </c>
      <c r="S23" s="1561">
        <f>F23</f>
        <v>100</v>
      </c>
      <c r="T23" s="1560" t="s">
        <v>8</v>
      </c>
      <c r="U23" s="1561">
        <f>H23</f>
        <v>100</v>
      </c>
      <c r="V23" s="1560" t="s">
        <v>8</v>
      </c>
      <c r="W23" s="1561">
        <f>J23</f>
        <v>100</v>
      </c>
      <c r="X23" s="1554"/>
      <c r="Y23" s="338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0"/>
      <c r="Q24" s="1559"/>
      <c r="R24" s="1560"/>
      <c r="S24" s="1561"/>
      <c r="T24" s="1560"/>
      <c r="U24" s="1561"/>
      <c r="V24" s="1560"/>
      <c r="W24" s="1561"/>
      <c r="X24" s="1554"/>
      <c r="Y24" s="338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0"/>
      <c r="Q25" s="1559" t="str">
        <f>B25</f>
        <v>毗邻道路的类型与等级</v>
      </c>
      <c r="R25" s="1560" t="s">
        <v>8</v>
      </c>
      <c r="S25" s="1561">
        <f>F25</f>
        <v>100</v>
      </c>
      <c r="T25" s="1560" t="s">
        <v>8</v>
      </c>
      <c r="U25" s="1561">
        <f>H25</f>
        <v>100</v>
      </c>
      <c r="V25" s="1560" t="s">
        <v>8</v>
      </c>
      <c r="W25" s="1561">
        <f>J25</f>
        <v>100</v>
      </c>
      <c r="X25" s="1554"/>
      <c r="Y25" s="338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0"/>
      <c r="Q26" s="1559"/>
      <c r="R26" s="1560"/>
      <c r="S26" s="1561"/>
      <c r="T26" s="1560"/>
      <c r="U26" s="1561"/>
      <c r="V26" s="1560"/>
      <c r="W26" s="1561"/>
      <c r="X26" s="1554"/>
      <c r="Y26" s="338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0"/>
      <c r="Q27" s="1559" t="str">
        <f t="shared" ref="Q27:Q47" si="11">B27</f>
        <v>楼层</v>
      </c>
      <c r="R27" s="1560" t="s">
        <v>8</v>
      </c>
      <c r="S27" s="1561">
        <f>F27</f>
        <v>100</v>
      </c>
      <c r="T27" s="1560" t="s">
        <v>8</v>
      </c>
      <c r="U27" s="1561">
        <f>H27</f>
        <v>100</v>
      </c>
      <c r="V27" s="1560" t="s">
        <v>8</v>
      </c>
      <c r="W27" s="1561">
        <f>J27</f>
        <v>100</v>
      </c>
      <c r="X27" s="1554"/>
      <c r="Y27" s="338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0"/>
      <c r="Q28" s="1147" t="str">
        <f t="shared" si="11"/>
        <v>朝向</v>
      </c>
      <c r="R28" s="1555" t="s">
        <v>8</v>
      </c>
      <c r="S28" s="1556">
        <f>F28</f>
        <v>100</v>
      </c>
      <c r="T28" s="1555" t="s">
        <v>8</v>
      </c>
      <c r="U28" s="1556">
        <f>H28</f>
        <v>100</v>
      </c>
      <c r="V28" s="1555" t="s">
        <v>8</v>
      </c>
      <c r="W28" s="1556">
        <f>J28</f>
        <v>100</v>
      </c>
      <c r="X28" s="1557"/>
      <c r="Y28" s="338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0"/>
      <c r="Q29" s="1559">
        <f t="shared" si="11"/>
        <v>111</v>
      </c>
      <c r="R29" s="1560" t="s">
        <v>8</v>
      </c>
      <c r="S29" s="1561">
        <f t="shared" ref="S29:S47" si="12">F29</f>
        <v>100</v>
      </c>
      <c r="T29" s="1560" t="s">
        <v>8</v>
      </c>
      <c r="U29" s="1561">
        <f t="shared" ref="U29:U47" si="13">H29</f>
        <v>100</v>
      </c>
      <c r="V29" s="1560" t="s">
        <v>8</v>
      </c>
      <c r="W29" s="1561">
        <f t="shared" ref="W29:W47" si="14">J29</f>
        <v>100</v>
      </c>
      <c r="X29" s="1554"/>
      <c r="Y29" s="338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0"/>
      <c r="Q30" s="1559">
        <f t="shared" si="11"/>
        <v>111</v>
      </c>
      <c r="R30" s="1560" t="s">
        <v>8</v>
      </c>
      <c r="S30" s="1561">
        <f t="shared" si="12"/>
        <v>100</v>
      </c>
      <c r="T30" s="1560" t="s">
        <v>8</v>
      </c>
      <c r="U30" s="1561">
        <f t="shared" si="13"/>
        <v>100</v>
      </c>
      <c r="V30" s="1560" t="s">
        <v>8</v>
      </c>
      <c r="W30" s="1561">
        <f t="shared" si="14"/>
        <v>100</v>
      </c>
      <c r="X30" s="1554"/>
      <c r="Y30" s="338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0"/>
      <c r="Q31" s="1559">
        <f t="shared" si="11"/>
        <v>111</v>
      </c>
      <c r="R31" s="1560" t="s">
        <v>8</v>
      </c>
      <c r="S31" s="1561">
        <f t="shared" si="12"/>
        <v>100</v>
      </c>
      <c r="T31" s="1560" t="s">
        <v>8</v>
      </c>
      <c r="U31" s="1561">
        <f t="shared" si="13"/>
        <v>100</v>
      </c>
      <c r="V31" s="1560" t="s">
        <v>8</v>
      </c>
      <c r="W31" s="1561">
        <f t="shared" si="14"/>
        <v>100</v>
      </c>
      <c r="X31" s="1554"/>
      <c r="Y31" s="338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0"/>
      <c r="Q32" s="1559">
        <f t="shared" si="11"/>
        <v>111</v>
      </c>
      <c r="R32" s="1560" t="s">
        <v>8</v>
      </c>
      <c r="S32" s="1561">
        <f t="shared" si="12"/>
        <v>100</v>
      </c>
      <c r="T32" s="1560" t="s">
        <v>8</v>
      </c>
      <c r="U32" s="1561">
        <f t="shared" si="13"/>
        <v>100</v>
      </c>
      <c r="V32" s="1560" t="s">
        <v>8</v>
      </c>
      <c r="W32" s="1561">
        <f t="shared" si="14"/>
        <v>100</v>
      </c>
      <c r="X32" s="1554"/>
      <c r="Y32" s="3380"/>
      <c r="Z32" s="1562">
        <f t="shared" si="15"/>
        <v>111</v>
      </c>
      <c r="AA32" s="1563">
        <f t="shared" si="3"/>
        <v>1</v>
      </c>
      <c r="AB32" s="1563">
        <f t="shared" si="4"/>
        <v>1</v>
      </c>
      <c r="AC32" s="1563">
        <f t="shared" si="5"/>
        <v>1</v>
      </c>
    </row>
    <row r="33" spans="1:29" ht="15">
      <c r="A33" s="2860"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1" t="s">
        <v>550</v>
      </c>
      <c r="Q33" s="1559" t="str">
        <f t="shared" si="11"/>
        <v>建筑类型</v>
      </c>
      <c r="R33" s="1560" t="s">
        <v>8</v>
      </c>
      <c r="S33" s="1561">
        <f t="shared" si="12"/>
        <v>100</v>
      </c>
      <c r="T33" s="1560" t="s">
        <v>8</v>
      </c>
      <c r="U33" s="1561">
        <f t="shared" si="13"/>
        <v>100</v>
      </c>
      <c r="V33" s="1560" t="s">
        <v>8</v>
      </c>
      <c r="W33" s="1561">
        <f t="shared" si="14"/>
        <v>100</v>
      </c>
      <c r="X33" s="1554"/>
      <c r="Y33" s="338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2"/>
      <c r="Q34" s="1591" t="str">
        <f t="shared" si="11"/>
        <v>项目建筑规模</v>
      </c>
      <c r="R34" s="1564" t="s">
        <v>8</v>
      </c>
      <c r="S34" s="1565" t="e">
        <f t="shared" si="12"/>
        <v>#N/A</v>
      </c>
      <c r="T34" s="1564" t="s">
        <v>8</v>
      </c>
      <c r="U34" s="1565" t="e">
        <f t="shared" si="13"/>
        <v>#N/A</v>
      </c>
      <c r="V34" s="1564" t="s">
        <v>8</v>
      </c>
      <c r="W34" s="1565" t="e">
        <f t="shared" si="14"/>
        <v>#N/A</v>
      </c>
      <c r="X34" s="1566"/>
      <c r="Y34" s="338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2"/>
      <c r="Q35" s="1559" t="str">
        <f t="shared" si="11"/>
        <v>建筑结构</v>
      </c>
      <c r="R35" s="1560" t="s">
        <v>8</v>
      </c>
      <c r="S35" s="1561">
        <f t="shared" si="12"/>
        <v>100</v>
      </c>
      <c r="T35" s="1560" t="s">
        <v>8</v>
      </c>
      <c r="U35" s="1561">
        <f t="shared" si="13"/>
        <v>100</v>
      </c>
      <c r="V35" s="1560" t="s">
        <v>8</v>
      </c>
      <c r="W35" s="1561">
        <f t="shared" si="14"/>
        <v>100</v>
      </c>
      <c r="X35" s="1554"/>
      <c r="Y35" s="338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2"/>
      <c r="Q36" s="1559" t="str">
        <f t="shared" si="11"/>
        <v>公共部分装修</v>
      </c>
      <c r="R36" s="1560" t="s">
        <v>8</v>
      </c>
      <c r="S36" s="1561">
        <f t="shared" si="12"/>
        <v>100</v>
      </c>
      <c r="T36" s="1560" t="s">
        <v>8</v>
      </c>
      <c r="U36" s="1561">
        <f t="shared" si="13"/>
        <v>100</v>
      </c>
      <c r="V36" s="1560" t="s">
        <v>8</v>
      </c>
      <c r="W36" s="1561">
        <f t="shared" si="14"/>
        <v>100</v>
      </c>
      <c r="X36" s="1554"/>
      <c r="Y36" s="338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2"/>
      <c r="Q37" s="1559" t="str">
        <f t="shared" si="11"/>
        <v>成新度</v>
      </c>
      <c r="R37" s="1560" t="s">
        <v>8</v>
      </c>
      <c r="S37" s="1561" t="e">
        <f t="shared" si="12"/>
        <v>#N/A</v>
      </c>
      <c r="T37" s="1560" t="s">
        <v>8</v>
      </c>
      <c r="U37" s="1561" t="e">
        <f t="shared" si="13"/>
        <v>#N/A</v>
      </c>
      <c r="V37" s="1560" t="s">
        <v>8</v>
      </c>
      <c r="W37" s="1561" t="e">
        <f t="shared" si="14"/>
        <v>#N/A</v>
      </c>
      <c r="X37" s="1554"/>
      <c r="Y37" s="338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2"/>
      <c r="Q38" s="1147" t="str">
        <f t="shared" si="11"/>
        <v>写字楼等级</v>
      </c>
      <c r="R38" s="1555" t="s">
        <v>8</v>
      </c>
      <c r="S38" s="1556">
        <f t="shared" si="12"/>
        <v>100</v>
      </c>
      <c r="T38" s="1555" t="s">
        <v>8</v>
      </c>
      <c r="U38" s="1556">
        <f t="shared" si="13"/>
        <v>100</v>
      </c>
      <c r="V38" s="1555" t="s">
        <v>8</v>
      </c>
      <c r="W38" s="1556">
        <f t="shared" si="14"/>
        <v>100</v>
      </c>
      <c r="X38" s="1557"/>
      <c r="Y38" s="338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2" t="s">
        <v>550</v>
      </c>
      <c r="Q39" s="1559" t="str">
        <f t="shared" si="11"/>
        <v>物业管理</v>
      </c>
      <c r="R39" s="1560" t="s">
        <v>8</v>
      </c>
      <c r="S39" s="1561">
        <f t="shared" si="12"/>
        <v>100</v>
      </c>
      <c r="T39" s="1560" t="s">
        <v>8</v>
      </c>
      <c r="U39" s="1561">
        <f t="shared" si="13"/>
        <v>100</v>
      </c>
      <c r="V39" s="1560" t="s">
        <v>8</v>
      </c>
      <c r="W39" s="1561">
        <f t="shared" si="14"/>
        <v>100</v>
      </c>
      <c r="X39" s="1554"/>
      <c r="Y39" s="3382"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2"/>
      <c r="Q40" s="1559" t="str">
        <f t="shared" si="11"/>
        <v>市政基础设施</v>
      </c>
      <c r="R40" s="1560" t="s">
        <v>8</v>
      </c>
      <c r="S40" s="1561">
        <f t="shared" si="12"/>
        <v>100</v>
      </c>
      <c r="T40" s="1560" t="s">
        <v>8</v>
      </c>
      <c r="U40" s="1561">
        <f t="shared" si="13"/>
        <v>100</v>
      </c>
      <c r="V40" s="1560" t="s">
        <v>8</v>
      </c>
      <c r="W40" s="1561">
        <f t="shared" si="14"/>
        <v>100</v>
      </c>
      <c r="X40" s="1554"/>
      <c r="Y40" s="338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2"/>
      <c r="Q41" s="1559" t="str">
        <f t="shared" si="11"/>
        <v>层高</v>
      </c>
      <c r="R41" s="1560" t="s">
        <v>8</v>
      </c>
      <c r="S41" s="1561">
        <f t="shared" si="12"/>
        <v>100</v>
      </c>
      <c r="T41" s="1560" t="s">
        <v>8</v>
      </c>
      <c r="U41" s="1561">
        <f t="shared" si="13"/>
        <v>100</v>
      </c>
      <c r="V41" s="1560" t="s">
        <v>8</v>
      </c>
      <c r="W41" s="1561">
        <f t="shared" si="14"/>
        <v>100</v>
      </c>
      <c r="X41" s="1554"/>
      <c r="Y41" s="338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2"/>
      <c r="Q42" s="1591" t="str">
        <f t="shared" si="11"/>
        <v>单套建筑面积</v>
      </c>
      <c r="R42" s="1564" t="s">
        <v>8</v>
      </c>
      <c r="S42" s="1565">
        <f t="shared" si="12"/>
        <v>100</v>
      </c>
      <c r="T42" s="1564" t="s">
        <v>8</v>
      </c>
      <c r="U42" s="1565">
        <f t="shared" si="13"/>
        <v>100</v>
      </c>
      <c r="V42" s="1564" t="s">
        <v>8</v>
      </c>
      <c r="W42" s="1565">
        <f t="shared" si="14"/>
        <v>100</v>
      </c>
      <c r="X42" s="1566"/>
      <c r="Y42" s="338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2"/>
      <c r="Q43" s="1559" t="str">
        <f t="shared" si="11"/>
        <v>内部装修</v>
      </c>
      <c r="R43" s="1560" t="s">
        <v>8</v>
      </c>
      <c r="S43" s="1561">
        <f t="shared" si="12"/>
        <v>100</v>
      </c>
      <c r="T43" s="1560" t="s">
        <v>8</v>
      </c>
      <c r="U43" s="1561">
        <f t="shared" si="13"/>
        <v>100</v>
      </c>
      <c r="V43" s="1560" t="s">
        <v>8</v>
      </c>
      <c r="W43" s="1561">
        <f t="shared" si="14"/>
        <v>100</v>
      </c>
      <c r="X43" s="1554"/>
      <c r="Y43" s="338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2"/>
      <c r="Q44" s="1559" t="str">
        <f t="shared" si="11"/>
        <v>内部装修维护情况</v>
      </c>
      <c r="R44" s="1560" t="s">
        <v>8</v>
      </c>
      <c r="S44" s="1561">
        <f t="shared" si="12"/>
        <v>100</v>
      </c>
      <c r="T44" s="1560" t="s">
        <v>8</v>
      </c>
      <c r="U44" s="1561">
        <f t="shared" si="13"/>
        <v>100</v>
      </c>
      <c r="V44" s="1560" t="s">
        <v>8</v>
      </c>
      <c r="W44" s="1561">
        <f t="shared" si="14"/>
        <v>100</v>
      </c>
      <c r="X44" s="1554"/>
      <c r="Y44" s="338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2"/>
      <c r="Q45" s="1147">
        <f t="shared" si="11"/>
        <v>111</v>
      </c>
      <c r="R45" s="1555" t="s">
        <v>8</v>
      </c>
      <c r="S45" s="1556">
        <f t="shared" si="12"/>
        <v>100</v>
      </c>
      <c r="T45" s="1555" t="s">
        <v>8</v>
      </c>
      <c r="U45" s="1556">
        <f t="shared" si="13"/>
        <v>100</v>
      </c>
      <c r="V45" s="1555" t="s">
        <v>8</v>
      </c>
      <c r="W45" s="1556">
        <f t="shared" si="14"/>
        <v>100</v>
      </c>
      <c r="X45" s="1557"/>
      <c r="Y45" s="338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2"/>
      <c r="Q46" s="1559">
        <f t="shared" si="11"/>
        <v>111</v>
      </c>
      <c r="R46" s="1560" t="s">
        <v>8</v>
      </c>
      <c r="S46" s="1561">
        <f t="shared" si="12"/>
        <v>100</v>
      </c>
      <c r="T46" s="1560" t="s">
        <v>8</v>
      </c>
      <c r="U46" s="1561">
        <f t="shared" si="13"/>
        <v>100</v>
      </c>
      <c r="V46" s="1560" t="s">
        <v>8</v>
      </c>
      <c r="W46" s="1561">
        <f t="shared" si="14"/>
        <v>100</v>
      </c>
      <c r="X46" s="1554"/>
      <c r="Y46" s="338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2"/>
      <c r="Q47" s="1559">
        <f t="shared" si="11"/>
        <v>111</v>
      </c>
      <c r="R47" s="1560" t="s">
        <v>8</v>
      </c>
      <c r="S47" s="1561">
        <f t="shared" si="12"/>
        <v>100</v>
      </c>
      <c r="T47" s="1560" t="s">
        <v>8</v>
      </c>
      <c r="U47" s="1561">
        <f t="shared" si="13"/>
        <v>100</v>
      </c>
      <c r="V47" s="1560" t="s">
        <v>8</v>
      </c>
      <c r="W47" s="1561">
        <f t="shared" si="14"/>
        <v>100</v>
      </c>
      <c r="X47" s="1554"/>
      <c r="Y47" s="3482"/>
      <c r="Z47" s="1562">
        <f t="shared" si="15"/>
        <v>111</v>
      </c>
      <c r="AA47" s="1563">
        <f t="shared" si="3"/>
        <v>1</v>
      </c>
      <c r="AB47" s="1563">
        <f t="shared" si="4"/>
        <v>1</v>
      </c>
      <c r="AC47" s="1563">
        <f t="shared" si="5"/>
        <v>1</v>
      </c>
    </row>
    <row r="48" spans="1:29" ht="15">
      <c r="A48" s="607" t="s">
        <v>736</v>
      </c>
      <c r="B48" s="887"/>
      <c r="C48" s="2589" t="s">
        <v>1</v>
      </c>
      <c r="D48" s="2590"/>
      <c r="E48" s="2591"/>
      <c r="F48" s="2592"/>
      <c r="G48" s="2593"/>
      <c r="H48" s="2594"/>
      <c r="I48" s="2591"/>
      <c r="J48" s="2594"/>
      <c r="K48" s="1597"/>
      <c r="L48" s="2130"/>
      <c r="M48" s="2120"/>
      <c r="N48" s="2120"/>
      <c r="O48" s="2120"/>
      <c r="P48" s="3399" t="str">
        <f>A48</f>
        <v>成交单价（元/平方米）</v>
      </c>
      <c r="Q48" s="3377"/>
      <c r="R48" s="3481">
        <f>E48</f>
        <v>0</v>
      </c>
      <c r="S48" s="3481"/>
      <c r="T48" s="3481">
        <f>G48</f>
        <v>0</v>
      </c>
      <c r="U48" s="3481"/>
      <c r="V48" s="3481">
        <f>I48</f>
        <v>0</v>
      </c>
      <c r="W48" s="3481"/>
      <c r="X48" s="1546"/>
      <c r="Y48" s="1568"/>
      <c r="Z48" s="1546"/>
      <c r="AA48" s="1546"/>
      <c r="AB48" s="1546"/>
      <c r="AC48" s="1546"/>
    </row>
    <row r="49" spans="1:29" ht="15.75" thickBot="1">
      <c r="A49" s="615" t="s">
        <v>2760</v>
      </c>
      <c r="B49" s="888"/>
      <c r="C49" s="2595" t="e">
        <f>R50</f>
        <v>#DIV/0!</v>
      </c>
      <c r="D49" s="2596"/>
      <c r="E49" s="2597" t="e">
        <f>R49</f>
        <v>#DIV/0!</v>
      </c>
      <c r="F49" s="2597"/>
      <c r="G49" s="2595" t="e">
        <f>T49</f>
        <v>#DIV/0!</v>
      </c>
      <c r="H49" s="2596"/>
      <c r="I49" s="2597" t="e">
        <f>V49</f>
        <v>#DIV/0!</v>
      </c>
      <c r="J49" s="2596"/>
      <c r="K49" s="1598"/>
      <c r="L49" s="2130"/>
      <c r="M49" s="2120"/>
      <c r="N49" s="2120"/>
      <c r="O49" s="2120"/>
      <c r="P49" s="3399" t="str">
        <f>A49</f>
        <v>比较价格（元/平方米）</v>
      </c>
      <c r="Q49" s="3377"/>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6"/>
      <c r="Y49" s="1546"/>
      <c r="Z49" s="1546"/>
      <c r="AA49" s="1546"/>
      <c r="AB49" s="1546"/>
      <c r="AC49" s="1546"/>
    </row>
    <row r="50" spans="1:29" ht="15.75" thickBot="1">
      <c r="A50" s="621" t="s">
        <v>2934</v>
      </c>
      <c r="B50" s="622"/>
      <c r="C50" s="2598" t="e">
        <f>R50</f>
        <v>#DIV/0!</v>
      </c>
      <c r="D50" s="2598"/>
      <c r="E50" s="2598"/>
      <c r="F50" s="2598"/>
      <c r="G50" s="2598"/>
      <c r="H50" s="2598"/>
      <c r="I50" s="2598"/>
      <c r="J50" s="2598"/>
      <c r="K50" s="1599"/>
      <c r="L50" s="2130"/>
      <c r="M50" s="2120"/>
      <c r="N50" s="2120"/>
      <c r="O50" s="2120"/>
      <c r="P50" s="3486" t="str">
        <f>A50</f>
        <v>估价对象XX用房的比较价格（楼面单价，元/平方米）</v>
      </c>
      <c r="Q50" s="3399"/>
      <c r="R50" s="3480" t="e">
        <f>IF(F1="售价",ROUND(AVERAGE(R49:V49),0),ROUND(AVERAGE(R49:V49),1))</f>
        <v>#DIV/0!</v>
      </c>
      <c r="S50" s="3480"/>
      <c r="T50" s="3480"/>
      <c r="U50" s="3480"/>
      <c r="V50" s="3480"/>
      <c r="W50" s="348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5" t="str">
        <f>YEAR(C7)&amp;"-"&amp;MONTH(C7)</f>
        <v>2019-5</v>
      </c>
      <c r="D59" s="2757">
        <f>EDATE(C59,-1)</f>
        <v>43556</v>
      </c>
      <c r="E59" s="2757">
        <f t="shared" ref="E59:O59" si="16">EDATE(D59,-1)</f>
        <v>43525</v>
      </c>
      <c r="F59" s="2757">
        <f t="shared" si="16"/>
        <v>43497</v>
      </c>
      <c r="G59" s="2757">
        <f t="shared" si="16"/>
        <v>43466</v>
      </c>
      <c r="H59" s="2757">
        <f t="shared" si="16"/>
        <v>43435</v>
      </c>
      <c r="I59" s="2757">
        <f t="shared" si="16"/>
        <v>43405</v>
      </c>
      <c r="J59" s="2757">
        <f t="shared" si="16"/>
        <v>43374</v>
      </c>
      <c r="K59" s="2757">
        <f t="shared" si="16"/>
        <v>43344</v>
      </c>
      <c r="L59" s="2757">
        <f t="shared" si="16"/>
        <v>43313</v>
      </c>
      <c r="M59" s="2757">
        <f t="shared" si="16"/>
        <v>43282</v>
      </c>
      <c r="N59" s="2757">
        <f t="shared" si="16"/>
        <v>43252</v>
      </c>
      <c r="O59" s="2757">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59" t="s">
        <v>2558</v>
      </c>
      <c r="C83" s="2560" t="s">
        <v>2559</v>
      </c>
      <c r="D83" s="2560" t="s">
        <v>2560</v>
      </c>
      <c r="E83" s="2560" t="s">
        <v>2561</v>
      </c>
      <c r="F83" s="2560" t="s">
        <v>2562</v>
      </c>
      <c r="G83" s="2560" t="s">
        <v>2563</v>
      </c>
      <c r="H83" s="674"/>
      <c r="I83" s="674"/>
      <c r="J83" s="674"/>
      <c r="K83" s="674"/>
      <c r="L83" s="674"/>
      <c r="M83" s="2563"/>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3" t="s">
        <v>522</v>
      </c>
      <c r="D4" s="3384"/>
      <c r="E4" s="3413" t="s">
        <v>523</v>
      </c>
      <c r="F4" s="3414"/>
      <c r="G4" s="3383" t="s">
        <v>524</v>
      </c>
      <c r="H4" s="3384"/>
      <c r="I4" s="3383" t="s">
        <v>525</v>
      </c>
      <c r="J4" s="3384"/>
      <c r="K4" s="514" t="s">
        <v>526</v>
      </c>
      <c r="L4" s="2119"/>
      <c r="M4" s="2120"/>
      <c r="N4" s="2120"/>
      <c r="O4" s="2120"/>
      <c r="P4" s="3385" t="s">
        <v>527</v>
      </c>
      <c r="Q4" s="3386"/>
      <c r="R4" s="3371" t="s">
        <v>523</v>
      </c>
      <c r="S4" s="3372"/>
      <c r="T4" s="3371" t="s">
        <v>524</v>
      </c>
      <c r="U4" s="3372"/>
      <c r="V4" s="3391" t="s">
        <v>525</v>
      </c>
      <c r="W4" s="3391"/>
      <c r="X4" s="1554"/>
      <c r="Y4" s="3371" t="s">
        <v>527</v>
      </c>
      <c r="Z4" s="3372"/>
      <c r="AA4" s="3366" t="s">
        <v>523</v>
      </c>
      <c r="AB4" s="3367" t="s">
        <v>524</v>
      </c>
      <c r="AC4" s="3366" t="s">
        <v>525</v>
      </c>
    </row>
    <row r="5" spans="1:29" ht="15">
      <c r="A5" s="515"/>
      <c r="B5" s="516"/>
      <c r="C5" s="3394" t="s">
        <v>2928</v>
      </c>
      <c r="D5" s="3395"/>
      <c r="E5" s="3415" t="s">
        <v>2929</v>
      </c>
      <c r="F5" s="3416"/>
      <c r="G5" s="3394" t="s">
        <v>2930</v>
      </c>
      <c r="H5" s="3395"/>
      <c r="I5" s="3394" t="s">
        <v>2931</v>
      </c>
      <c r="J5" s="3395"/>
      <c r="K5" s="514"/>
      <c r="L5" s="2119"/>
      <c r="M5" s="2120"/>
      <c r="N5" s="2120"/>
      <c r="O5" s="2120"/>
      <c r="P5" s="3387"/>
      <c r="Q5" s="3388"/>
      <c r="R5" s="3373"/>
      <c r="S5" s="3374"/>
      <c r="T5" s="3373"/>
      <c r="U5" s="3374"/>
      <c r="V5" s="3391"/>
      <c r="W5" s="3391"/>
      <c r="X5" s="1554"/>
      <c r="Y5" s="3373"/>
      <c r="Z5" s="3374"/>
      <c r="AA5" s="3367"/>
      <c r="AB5" s="3367"/>
      <c r="AC5" s="3367"/>
    </row>
    <row r="6" spans="1:29" ht="15.75" thickBot="1">
      <c r="A6" s="517"/>
      <c r="B6" s="518"/>
      <c r="C6" s="3392" t="s">
        <v>2932</v>
      </c>
      <c r="D6" s="3393"/>
      <c r="E6" s="3417" t="s">
        <v>2932</v>
      </c>
      <c r="F6" s="3418"/>
      <c r="G6" s="3392" t="s">
        <v>2932</v>
      </c>
      <c r="H6" s="3393"/>
      <c r="I6" s="3392" t="s">
        <v>2932</v>
      </c>
      <c r="J6" s="3393"/>
      <c r="K6" s="514" t="s">
        <v>528</v>
      </c>
      <c r="L6" s="2119"/>
      <c r="M6" s="2120"/>
      <c r="N6" s="2120"/>
      <c r="O6" s="2120"/>
      <c r="P6" s="3389"/>
      <c r="Q6" s="3390"/>
      <c r="R6" s="3373"/>
      <c r="S6" s="3374"/>
      <c r="T6" s="3375"/>
      <c r="U6" s="3376"/>
      <c r="V6" s="3391"/>
      <c r="W6" s="3391"/>
      <c r="X6" s="1554"/>
      <c r="Y6" s="3375"/>
      <c r="Z6" s="3376"/>
      <c r="AA6" s="3368"/>
      <c r="AB6" s="3368"/>
      <c r="AC6" s="3368"/>
    </row>
    <row r="7" spans="1:29" s="1216" customFormat="1" ht="15.75" thickBot="1">
      <c r="A7" s="2865"/>
      <c r="B7" s="2872" t="s">
        <v>529</v>
      </c>
      <c r="C7" s="519">
        <f>'数据-取费表'!B2</f>
        <v>43599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9" t="s">
        <v>530</v>
      </c>
      <c r="Q7" s="3378"/>
      <c r="R7" s="1555" t="s">
        <v>8</v>
      </c>
      <c r="S7" s="1556">
        <f t="shared" ref="S7:S15" si="0">F7</f>
        <v>0</v>
      </c>
      <c r="T7" s="1555" t="s">
        <v>8</v>
      </c>
      <c r="U7" s="1556">
        <f t="shared" ref="U7:U15" si="1">H7</f>
        <v>0</v>
      </c>
      <c r="V7" s="1555" t="s">
        <v>8</v>
      </c>
      <c r="W7" s="1556">
        <f t="shared" ref="W7:W15" si="2">J7</f>
        <v>0</v>
      </c>
      <c r="X7" s="1557"/>
      <c r="Y7" s="3369" t="s">
        <v>530</v>
      </c>
      <c r="Z7" s="3370"/>
      <c r="AA7" s="1558" t="e">
        <f>D7/F7</f>
        <v>#DIV/0!</v>
      </c>
      <c r="AB7" s="1558" t="e">
        <f>D7/H7</f>
        <v>#DIV/0!</v>
      </c>
      <c r="AC7" s="1558" t="e">
        <f>D7/J7</f>
        <v>#DIV/0!</v>
      </c>
    </row>
    <row r="8" spans="1:29" s="1216"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9" t="s">
        <v>533</v>
      </c>
      <c r="Q8" s="3370"/>
      <c r="R8" s="1555" t="s">
        <v>8</v>
      </c>
      <c r="S8" s="1556">
        <f t="shared" si="0"/>
        <v>0</v>
      </c>
      <c r="T8" s="1555" t="s">
        <v>8</v>
      </c>
      <c r="U8" s="1556">
        <f t="shared" si="1"/>
        <v>0</v>
      </c>
      <c r="V8" s="1555" t="s">
        <v>8</v>
      </c>
      <c r="W8" s="1556">
        <f t="shared" si="2"/>
        <v>0</v>
      </c>
      <c r="X8" s="1557"/>
      <c r="Y8" s="3369" t="s">
        <v>533</v>
      </c>
      <c r="Z8" s="3370"/>
      <c r="AA8" s="1558" t="e">
        <f t="shared" ref="AA8:AA40" si="3">D8/F8</f>
        <v>#DIV/0!</v>
      </c>
      <c r="AB8" s="1558" t="e">
        <f t="shared" ref="AB8:AB40" si="4">D8/H8</f>
        <v>#DIV/0!</v>
      </c>
      <c r="AC8" s="1558" t="e">
        <f t="shared" ref="AC8:AC40" si="5">D8/J8</f>
        <v>#DIV/0!</v>
      </c>
    </row>
    <row r="9" spans="1:29" s="1216" customFormat="1" ht="15">
      <c r="A9" s="2867"/>
      <c r="B9" s="2874"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7" t="s">
        <v>535</v>
      </c>
      <c r="Q9" s="1147" t="str">
        <f t="shared" ref="Q9:Q15" si="6">B9</f>
        <v>用途</v>
      </c>
      <c r="R9" s="1555" t="s">
        <v>8</v>
      </c>
      <c r="S9" s="1556">
        <f t="shared" si="0"/>
        <v>100</v>
      </c>
      <c r="T9" s="1555" t="s">
        <v>8</v>
      </c>
      <c r="U9" s="1556">
        <f t="shared" si="1"/>
        <v>100</v>
      </c>
      <c r="V9" s="1555" t="s">
        <v>8</v>
      </c>
      <c r="W9" s="1556">
        <f t="shared" si="2"/>
        <v>100</v>
      </c>
      <c r="X9" s="1557"/>
      <c r="Y9" s="3334"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7"/>
      <c r="Q10" s="1147" t="str">
        <f t="shared" si="6"/>
        <v>土地使用年限（年）</v>
      </c>
      <c r="R10" s="1555" t="s">
        <v>8</v>
      </c>
      <c r="S10" s="1556">
        <f t="shared" si="0"/>
        <v>100</v>
      </c>
      <c r="T10" s="1555" t="s">
        <v>8</v>
      </c>
      <c r="U10" s="1556">
        <f t="shared" si="1"/>
        <v>100</v>
      </c>
      <c r="V10" s="1555" t="s">
        <v>8</v>
      </c>
      <c r="W10" s="1556">
        <f t="shared" si="2"/>
        <v>100</v>
      </c>
      <c r="X10" s="1557"/>
      <c r="Y10" s="3334"/>
      <c r="Z10" s="1146" t="str">
        <f t="shared" si="7"/>
        <v>土地使用年限（年）</v>
      </c>
      <c r="AA10" s="1558">
        <f t="shared" si="3"/>
        <v>1</v>
      </c>
      <c r="AB10" s="1558">
        <f t="shared" si="4"/>
        <v>1</v>
      </c>
      <c r="AC10" s="1558">
        <f t="shared" si="5"/>
        <v>1</v>
      </c>
    </row>
    <row r="11" spans="1:29" ht="15">
      <c r="A11" s="2869"/>
      <c r="B11" s="287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7"/>
      <c r="Q11" s="1147" t="str">
        <f t="shared" si="6"/>
        <v>容积率</v>
      </c>
      <c r="R11" s="1555" t="s">
        <v>8</v>
      </c>
      <c r="S11" s="1556" t="e">
        <f t="shared" si="0"/>
        <v>#N/A</v>
      </c>
      <c r="T11" s="1555" t="s">
        <v>8</v>
      </c>
      <c r="U11" s="1556" t="e">
        <f t="shared" si="1"/>
        <v>#N/A</v>
      </c>
      <c r="V11" s="1555" t="s">
        <v>8</v>
      </c>
      <c r="W11" s="1556" t="e">
        <f t="shared" si="2"/>
        <v>#N/A</v>
      </c>
      <c r="X11" s="1557"/>
      <c r="Y11" s="3334"/>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7"/>
      <c r="Q12" s="1147">
        <f t="shared" si="6"/>
        <v>111</v>
      </c>
      <c r="R12" s="1555" t="s">
        <v>8</v>
      </c>
      <c r="S12" s="1556">
        <f t="shared" si="0"/>
        <v>100</v>
      </c>
      <c r="T12" s="1555" t="s">
        <v>8</v>
      </c>
      <c r="U12" s="1556">
        <f t="shared" si="1"/>
        <v>100</v>
      </c>
      <c r="V12" s="1555" t="s">
        <v>8</v>
      </c>
      <c r="W12" s="1556">
        <f t="shared" si="2"/>
        <v>100</v>
      </c>
      <c r="X12" s="1557"/>
      <c r="Y12" s="3334"/>
      <c r="Z12" s="1146">
        <f t="shared" si="7"/>
        <v>111</v>
      </c>
      <c r="AA12" s="1558">
        <f>D12/F12</f>
        <v>1</v>
      </c>
      <c r="AB12" s="1558">
        <f>D12/H12</f>
        <v>1</v>
      </c>
      <c r="AC12" s="1558">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7"/>
      <c r="Q13" s="1147">
        <f t="shared" si="6"/>
        <v>111</v>
      </c>
      <c r="R13" s="1555" t="s">
        <v>8</v>
      </c>
      <c r="S13" s="1556">
        <f t="shared" si="0"/>
        <v>100</v>
      </c>
      <c r="T13" s="1555" t="s">
        <v>8</v>
      </c>
      <c r="U13" s="1556">
        <f t="shared" si="1"/>
        <v>100</v>
      </c>
      <c r="V13" s="1555" t="s">
        <v>8</v>
      </c>
      <c r="W13" s="1556">
        <f t="shared" si="2"/>
        <v>100</v>
      </c>
      <c r="X13" s="1557"/>
      <c r="Y13" s="3334"/>
      <c r="Z13" s="1146">
        <f t="shared" si="7"/>
        <v>111</v>
      </c>
      <c r="AA13" s="1558">
        <f t="shared" si="3"/>
        <v>1</v>
      </c>
      <c r="AB13" s="1558">
        <f t="shared" si="4"/>
        <v>1</v>
      </c>
      <c r="AC13" s="1558">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7"/>
      <c r="Q14" s="1147">
        <f t="shared" si="6"/>
        <v>111</v>
      </c>
      <c r="R14" s="1555" t="s">
        <v>8</v>
      </c>
      <c r="S14" s="1556">
        <f t="shared" si="0"/>
        <v>100</v>
      </c>
      <c r="T14" s="1555" t="s">
        <v>8</v>
      </c>
      <c r="U14" s="1556">
        <f t="shared" si="1"/>
        <v>100</v>
      </c>
      <c r="V14" s="1555" t="s">
        <v>8</v>
      </c>
      <c r="W14" s="1556">
        <f t="shared" si="2"/>
        <v>100</v>
      </c>
      <c r="X14" s="1557"/>
      <c r="Y14" s="3334"/>
      <c r="Z14" s="1146">
        <f t="shared" si="7"/>
        <v>111</v>
      </c>
      <c r="AA14" s="1558">
        <f t="shared" si="3"/>
        <v>1</v>
      </c>
      <c r="AB14" s="1558">
        <f t="shared" si="4"/>
        <v>1</v>
      </c>
      <c r="AC14" s="1558">
        <f t="shared" si="5"/>
        <v>1</v>
      </c>
    </row>
    <row r="15" spans="1:29" ht="57">
      <c r="A15" s="2863"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9" t="s">
        <v>540</v>
      </c>
      <c r="Q15" s="1559" t="str">
        <f t="shared" si="6"/>
        <v>产业集聚程度</v>
      </c>
      <c r="R15" s="1560" t="s">
        <v>8</v>
      </c>
      <c r="S15" s="1561">
        <f t="shared" si="0"/>
        <v>100</v>
      </c>
      <c r="T15" s="1560" t="s">
        <v>8</v>
      </c>
      <c r="U15" s="1561">
        <f t="shared" si="1"/>
        <v>100</v>
      </c>
      <c r="V15" s="1560" t="s">
        <v>8</v>
      </c>
      <c r="W15" s="1561">
        <f t="shared" si="2"/>
        <v>100</v>
      </c>
      <c r="X15" s="1554"/>
      <c r="Y15" s="337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0"/>
      <c r="Q16" s="1559"/>
      <c r="R16" s="1560"/>
      <c r="S16" s="1561"/>
      <c r="T16" s="1560"/>
      <c r="U16" s="1561"/>
      <c r="V16" s="1560"/>
      <c r="W16" s="1561"/>
      <c r="X16" s="1554"/>
      <c r="Y16" s="338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0"/>
      <c r="Q17" s="1559" t="str">
        <f>B17</f>
        <v>交通便捷度</v>
      </c>
      <c r="R17" s="1560" t="s">
        <v>8</v>
      </c>
      <c r="S17" s="1561">
        <f>F17</f>
        <v>100</v>
      </c>
      <c r="T17" s="1560" t="s">
        <v>8</v>
      </c>
      <c r="U17" s="1561">
        <f>H17</f>
        <v>100</v>
      </c>
      <c r="V17" s="1560" t="s">
        <v>8</v>
      </c>
      <c r="W17" s="1561">
        <f>J17</f>
        <v>100</v>
      </c>
      <c r="X17" s="1554"/>
      <c r="Y17" s="338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0"/>
      <c r="Q18" s="1559"/>
      <c r="R18" s="1560"/>
      <c r="S18" s="1561"/>
      <c r="T18" s="1560"/>
      <c r="U18" s="1561"/>
      <c r="V18" s="1560"/>
      <c r="W18" s="1561"/>
      <c r="X18" s="1554"/>
      <c r="Y18" s="3380"/>
      <c r="Z18" s="1562"/>
      <c r="AA18" s="1563">
        <v>1</v>
      </c>
      <c r="AB18" s="1563">
        <v>1</v>
      </c>
      <c r="AC18" s="1563">
        <v>1</v>
      </c>
    </row>
    <row r="19" spans="1:29" ht="42.75">
      <c r="A19" s="532"/>
      <c r="B19" s="2565"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0"/>
      <c r="Q19" s="1559" t="str">
        <f>B19</f>
        <v>公共配套设施</v>
      </c>
      <c r="R19" s="1560" t="s">
        <v>8</v>
      </c>
      <c r="S19" s="1561">
        <f>F19</f>
        <v>100</v>
      </c>
      <c r="T19" s="1560" t="s">
        <v>8</v>
      </c>
      <c r="U19" s="1561">
        <f>H19</f>
        <v>100</v>
      </c>
      <c r="V19" s="1560" t="s">
        <v>8</v>
      </c>
      <c r="W19" s="1561">
        <f>J19</f>
        <v>100</v>
      </c>
      <c r="X19" s="1554"/>
      <c r="Y19" s="338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0"/>
      <c r="Q20" s="1559"/>
      <c r="R20" s="1560"/>
      <c r="S20" s="1561"/>
      <c r="T20" s="1560"/>
      <c r="U20" s="1561"/>
      <c r="V20" s="1560"/>
      <c r="W20" s="1561"/>
      <c r="X20" s="1554"/>
      <c r="Y20" s="3380"/>
      <c r="Z20" s="1562"/>
      <c r="AA20" s="1563">
        <v>1</v>
      </c>
      <c r="AB20" s="1563">
        <v>1</v>
      </c>
      <c r="AC20" s="1563">
        <v>1</v>
      </c>
    </row>
    <row r="21" spans="1:29" ht="28.5">
      <c r="A21" s="532"/>
      <c r="B21" s="2553"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0"/>
      <c r="Q21" s="2541" t="str">
        <f>B21</f>
        <v>基础设施水平</v>
      </c>
      <c r="R21" s="1560" t="s">
        <v>8</v>
      </c>
      <c r="S21" s="1561">
        <f>F21</f>
        <v>100</v>
      </c>
      <c r="T21" s="1560" t="s">
        <v>8</v>
      </c>
      <c r="U21" s="1561">
        <f>H21</f>
        <v>100</v>
      </c>
      <c r="V21" s="1560" t="s">
        <v>8</v>
      </c>
      <c r="W21" s="1561">
        <f>J21</f>
        <v>100</v>
      </c>
      <c r="X21" s="2543"/>
      <c r="Y21" s="3380"/>
      <c r="Z21" s="2542"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4"/>
      <c r="L22" s="2128"/>
      <c r="M22" s="2120"/>
      <c r="N22" s="2120"/>
      <c r="O22" s="2127"/>
      <c r="P22" s="3380"/>
      <c r="Q22" s="2541"/>
      <c r="R22" s="1560"/>
      <c r="S22" s="1561"/>
      <c r="T22" s="1560"/>
      <c r="U22" s="1561"/>
      <c r="V22" s="1560"/>
      <c r="W22" s="1561"/>
      <c r="X22" s="2543"/>
      <c r="Y22" s="3380"/>
      <c r="Z22" s="2542"/>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0"/>
      <c r="Q23" s="1559" t="str">
        <f>B23</f>
        <v>环境质量</v>
      </c>
      <c r="R23" s="1560" t="s">
        <v>8</v>
      </c>
      <c r="S23" s="1561">
        <f>F23</f>
        <v>100</v>
      </c>
      <c r="T23" s="1560" t="s">
        <v>8</v>
      </c>
      <c r="U23" s="1561">
        <f>H23</f>
        <v>100</v>
      </c>
      <c r="V23" s="1560" t="s">
        <v>8</v>
      </c>
      <c r="W23" s="1561">
        <f>J23</f>
        <v>100</v>
      </c>
      <c r="X23" s="1554"/>
      <c r="Y23" s="338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0"/>
      <c r="Q24" s="1559"/>
      <c r="R24" s="1560"/>
      <c r="S24" s="1561"/>
      <c r="T24" s="1560"/>
      <c r="U24" s="1561"/>
      <c r="V24" s="1560"/>
      <c r="W24" s="1561"/>
      <c r="X24" s="1554"/>
      <c r="Y24" s="338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0"/>
      <c r="Q25" s="1559">
        <f>B25</f>
        <v>111</v>
      </c>
      <c r="R25" s="1560" t="s">
        <v>8</v>
      </c>
      <c r="S25" s="1561">
        <f>F25</f>
        <v>100</v>
      </c>
      <c r="T25" s="1560" t="s">
        <v>8</v>
      </c>
      <c r="U25" s="1561">
        <f>H25</f>
        <v>100</v>
      </c>
      <c r="V25" s="1560" t="s">
        <v>8</v>
      </c>
      <c r="W25" s="1561">
        <f>J25</f>
        <v>100</v>
      </c>
      <c r="X25" s="1554"/>
      <c r="Y25" s="338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0"/>
      <c r="Q26" s="1559">
        <f t="shared" ref="Q26:Q40" si="11">B26</f>
        <v>111</v>
      </c>
      <c r="R26" s="1560" t="s">
        <v>8</v>
      </c>
      <c r="S26" s="1561">
        <f>F26</f>
        <v>100</v>
      </c>
      <c r="T26" s="1560" t="s">
        <v>8</v>
      </c>
      <c r="U26" s="1561">
        <f>H26</f>
        <v>100</v>
      </c>
      <c r="V26" s="1560" t="s">
        <v>8</v>
      </c>
      <c r="W26" s="1561">
        <f>J26</f>
        <v>100</v>
      </c>
      <c r="X26" s="1554"/>
      <c r="Y26" s="338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0"/>
      <c r="Q27" s="1147">
        <f t="shared" si="11"/>
        <v>111</v>
      </c>
      <c r="R27" s="1555" t="s">
        <v>8</v>
      </c>
      <c r="S27" s="1556">
        <f>F27</f>
        <v>100</v>
      </c>
      <c r="T27" s="1555" t="s">
        <v>8</v>
      </c>
      <c r="U27" s="1556">
        <f>H27</f>
        <v>100</v>
      </c>
      <c r="V27" s="1555" t="s">
        <v>8</v>
      </c>
      <c r="W27" s="1556">
        <f>J27</f>
        <v>100</v>
      </c>
      <c r="X27" s="1557"/>
      <c r="Y27" s="338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0"/>
      <c r="Q28" s="1559">
        <f t="shared" si="11"/>
        <v>111</v>
      </c>
      <c r="R28" s="1560" t="s">
        <v>8</v>
      </c>
      <c r="S28" s="1561">
        <f t="shared" ref="S28:S40" si="12">F28</f>
        <v>100</v>
      </c>
      <c r="T28" s="1560" t="s">
        <v>8</v>
      </c>
      <c r="U28" s="1561">
        <f t="shared" ref="U28:U40" si="13">H28</f>
        <v>100</v>
      </c>
      <c r="V28" s="1560" t="s">
        <v>8</v>
      </c>
      <c r="W28" s="1561">
        <f t="shared" ref="W28:W40" si="14">J28</f>
        <v>100</v>
      </c>
      <c r="X28" s="1554"/>
      <c r="Y28" s="3380"/>
      <c r="Z28" s="1562">
        <f t="shared" ref="Z28:Z40" si="15">Q28</f>
        <v>111</v>
      </c>
      <c r="AA28" s="1563">
        <f t="shared" si="3"/>
        <v>1</v>
      </c>
      <c r="AB28" s="1563">
        <f t="shared" si="4"/>
        <v>1</v>
      </c>
      <c r="AC28" s="1563">
        <f t="shared" si="5"/>
        <v>1</v>
      </c>
    </row>
    <row r="29" spans="1:29" ht="15">
      <c r="A29" s="2860"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1" t="s">
        <v>550</v>
      </c>
      <c r="Q29" s="1559" t="str">
        <f t="shared" si="11"/>
        <v>建筑类型</v>
      </c>
      <c r="R29" s="1560" t="s">
        <v>8</v>
      </c>
      <c r="S29" s="1561">
        <f t="shared" si="12"/>
        <v>100</v>
      </c>
      <c r="T29" s="1560" t="s">
        <v>8</v>
      </c>
      <c r="U29" s="1561">
        <f t="shared" si="13"/>
        <v>100</v>
      </c>
      <c r="V29" s="1560" t="s">
        <v>8</v>
      </c>
      <c r="W29" s="1561">
        <f t="shared" si="14"/>
        <v>100</v>
      </c>
      <c r="X29" s="1554"/>
      <c r="Y29" s="338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2"/>
      <c r="Q30" s="1591" t="str">
        <f t="shared" si="11"/>
        <v>项目建筑规模</v>
      </c>
      <c r="R30" s="1564" t="s">
        <v>8</v>
      </c>
      <c r="S30" s="1565" t="e">
        <f t="shared" si="12"/>
        <v>#N/A</v>
      </c>
      <c r="T30" s="1564" t="s">
        <v>8</v>
      </c>
      <c r="U30" s="1565" t="e">
        <f t="shared" si="13"/>
        <v>#N/A</v>
      </c>
      <c r="V30" s="1564" t="s">
        <v>8</v>
      </c>
      <c r="W30" s="1565" t="e">
        <f t="shared" si="14"/>
        <v>#N/A</v>
      </c>
      <c r="X30" s="1566"/>
      <c r="Y30" s="338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2"/>
      <c r="Q31" s="1559" t="str">
        <f t="shared" si="11"/>
        <v>建筑结构</v>
      </c>
      <c r="R31" s="1560" t="s">
        <v>8</v>
      </c>
      <c r="S31" s="1561">
        <f t="shared" si="12"/>
        <v>100</v>
      </c>
      <c r="T31" s="1560" t="s">
        <v>8</v>
      </c>
      <c r="U31" s="1561">
        <f t="shared" si="13"/>
        <v>100</v>
      </c>
      <c r="V31" s="1560" t="s">
        <v>8</v>
      </c>
      <c r="W31" s="1561">
        <f t="shared" si="14"/>
        <v>100</v>
      </c>
      <c r="X31" s="1554"/>
      <c r="Y31" s="338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2"/>
      <c r="Q32" s="1559" t="str">
        <f t="shared" si="11"/>
        <v>公共部分装修</v>
      </c>
      <c r="R32" s="1560" t="s">
        <v>8</v>
      </c>
      <c r="S32" s="1561">
        <f t="shared" si="12"/>
        <v>100</v>
      </c>
      <c r="T32" s="1560" t="s">
        <v>8</v>
      </c>
      <c r="U32" s="1561">
        <f t="shared" si="13"/>
        <v>100</v>
      </c>
      <c r="V32" s="1560" t="s">
        <v>8</v>
      </c>
      <c r="W32" s="1561">
        <f t="shared" si="14"/>
        <v>100</v>
      </c>
      <c r="X32" s="1554"/>
      <c r="Y32" s="338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2"/>
      <c r="Q33" s="1559" t="str">
        <f t="shared" si="11"/>
        <v>成新度</v>
      </c>
      <c r="R33" s="1560" t="s">
        <v>8</v>
      </c>
      <c r="S33" s="1561" t="e">
        <f t="shared" si="12"/>
        <v>#N/A</v>
      </c>
      <c r="T33" s="1560" t="s">
        <v>8</v>
      </c>
      <c r="U33" s="1561" t="e">
        <f t="shared" si="13"/>
        <v>#N/A</v>
      </c>
      <c r="V33" s="1560" t="s">
        <v>8</v>
      </c>
      <c r="W33" s="1561" t="e">
        <f t="shared" si="14"/>
        <v>#N/A</v>
      </c>
      <c r="X33" s="1554"/>
      <c r="Y33" s="338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2"/>
      <c r="Q34" s="1147" t="str">
        <f t="shared" si="11"/>
        <v>物业管理</v>
      </c>
      <c r="R34" s="1555" t="s">
        <v>8</v>
      </c>
      <c r="S34" s="1556">
        <f t="shared" si="12"/>
        <v>100</v>
      </c>
      <c r="T34" s="1555" t="s">
        <v>8</v>
      </c>
      <c r="U34" s="1556">
        <f t="shared" si="13"/>
        <v>100</v>
      </c>
      <c r="V34" s="1555" t="s">
        <v>8</v>
      </c>
      <c r="W34" s="1556">
        <f t="shared" si="14"/>
        <v>100</v>
      </c>
      <c r="X34" s="1557"/>
      <c r="Y34" s="3382"/>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2" t="s">
        <v>550</v>
      </c>
      <c r="Q35" s="1559" t="str">
        <f t="shared" si="11"/>
        <v>市政基础设施</v>
      </c>
      <c r="R35" s="1560" t="s">
        <v>8</v>
      </c>
      <c r="S35" s="1561">
        <f t="shared" si="12"/>
        <v>100</v>
      </c>
      <c r="T35" s="1560" t="s">
        <v>8</v>
      </c>
      <c r="U35" s="1561">
        <f t="shared" si="13"/>
        <v>100</v>
      </c>
      <c r="V35" s="1560" t="s">
        <v>8</v>
      </c>
      <c r="W35" s="1561">
        <f t="shared" si="14"/>
        <v>100</v>
      </c>
      <c r="X35" s="1554"/>
      <c r="Y35" s="338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2"/>
      <c r="Q36" s="1559" t="str">
        <f t="shared" si="11"/>
        <v>内部装修</v>
      </c>
      <c r="R36" s="1560" t="s">
        <v>8</v>
      </c>
      <c r="S36" s="1561">
        <f t="shared" si="12"/>
        <v>100</v>
      </c>
      <c r="T36" s="1560" t="s">
        <v>8</v>
      </c>
      <c r="U36" s="1561">
        <f t="shared" si="13"/>
        <v>100</v>
      </c>
      <c r="V36" s="1560" t="s">
        <v>8</v>
      </c>
      <c r="W36" s="1561">
        <f t="shared" si="14"/>
        <v>100</v>
      </c>
      <c r="X36" s="1554"/>
      <c r="Y36" s="338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2"/>
      <c r="Q37" s="1559" t="str">
        <f t="shared" si="11"/>
        <v>内部装修状况</v>
      </c>
      <c r="R37" s="1560" t="s">
        <v>8</v>
      </c>
      <c r="S37" s="1561">
        <f t="shared" si="12"/>
        <v>100</v>
      </c>
      <c r="T37" s="1560" t="s">
        <v>8</v>
      </c>
      <c r="U37" s="1561">
        <f t="shared" si="13"/>
        <v>100</v>
      </c>
      <c r="V37" s="1560" t="s">
        <v>8</v>
      </c>
      <c r="W37" s="1561">
        <f t="shared" si="14"/>
        <v>100</v>
      </c>
      <c r="X37" s="1554"/>
      <c r="Y37" s="338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2"/>
      <c r="Q38" s="1591">
        <f t="shared" si="11"/>
        <v>111</v>
      </c>
      <c r="R38" s="1564" t="s">
        <v>8</v>
      </c>
      <c r="S38" s="1565">
        <f t="shared" si="12"/>
        <v>100</v>
      </c>
      <c r="T38" s="1564" t="s">
        <v>8</v>
      </c>
      <c r="U38" s="1565">
        <f t="shared" si="13"/>
        <v>100</v>
      </c>
      <c r="V38" s="1564" t="s">
        <v>8</v>
      </c>
      <c r="W38" s="1565">
        <f t="shared" si="14"/>
        <v>100</v>
      </c>
      <c r="X38" s="1566"/>
      <c r="Y38" s="338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2"/>
      <c r="Q39" s="1559">
        <f t="shared" si="11"/>
        <v>111</v>
      </c>
      <c r="R39" s="1560" t="s">
        <v>8</v>
      </c>
      <c r="S39" s="1561">
        <f t="shared" si="12"/>
        <v>100</v>
      </c>
      <c r="T39" s="1560" t="s">
        <v>8</v>
      </c>
      <c r="U39" s="1561">
        <f t="shared" si="13"/>
        <v>100</v>
      </c>
      <c r="V39" s="1560" t="s">
        <v>8</v>
      </c>
      <c r="W39" s="1561">
        <f t="shared" si="14"/>
        <v>100</v>
      </c>
      <c r="X39" s="1554"/>
      <c r="Y39" s="338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2"/>
      <c r="Q40" s="1559">
        <f t="shared" si="11"/>
        <v>111</v>
      </c>
      <c r="R40" s="1560" t="s">
        <v>8</v>
      </c>
      <c r="S40" s="1561">
        <f t="shared" si="12"/>
        <v>100</v>
      </c>
      <c r="T40" s="1560" t="s">
        <v>8</v>
      </c>
      <c r="U40" s="1561">
        <f t="shared" si="13"/>
        <v>100</v>
      </c>
      <c r="V40" s="1560" t="s">
        <v>8</v>
      </c>
      <c r="W40" s="1561">
        <f t="shared" si="14"/>
        <v>100</v>
      </c>
      <c r="X40" s="1554"/>
      <c r="Y40" s="3482"/>
      <c r="Z40" s="1562">
        <f t="shared" si="15"/>
        <v>111</v>
      </c>
      <c r="AA40" s="1563">
        <f t="shared" si="3"/>
        <v>1</v>
      </c>
      <c r="AB40" s="1563">
        <f t="shared" si="4"/>
        <v>1</v>
      </c>
      <c r="AC40" s="1563">
        <f t="shared" si="5"/>
        <v>1</v>
      </c>
    </row>
    <row r="41" spans="1:29" ht="15">
      <c r="A41" s="607" t="s">
        <v>736</v>
      </c>
      <c r="B41" s="887"/>
      <c r="C41" s="2589" t="s">
        <v>1</v>
      </c>
      <c r="D41" s="2590"/>
      <c r="E41" s="2591"/>
      <c r="F41" s="2592"/>
      <c r="G41" s="2593"/>
      <c r="H41" s="2594"/>
      <c r="I41" s="2591"/>
      <c r="J41" s="2594"/>
      <c r="K41" s="1597"/>
      <c r="L41" s="2130"/>
      <c r="M41" s="2131"/>
      <c r="N41" s="2120"/>
      <c r="O41" s="2131"/>
      <c r="P41" s="3377" t="str">
        <f>A41</f>
        <v>成交单价（元/平方米）</v>
      </c>
      <c r="Q41" s="3377"/>
      <c r="R41" s="3481">
        <f>E41</f>
        <v>0</v>
      </c>
      <c r="S41" s="3481"/>
      <c r="T41" s="3481">
        <f>G41</f>
        <v>0</v>
      </c>
      <c r="U41" s="3481"/>
      <c r="V41" s="3481">
        <f>I41</f>
        <v>0</v>
      </c>
      <c r="W41" s="3481"/>
      <c r="X41" s="1546"/>
      <c r="Y41" s="1568"/>
      <c r="Z41" s="1546"/>
      <c r="AA41" s="1546"/>
      <c r="AB41" s="1546"/>
      <c r="AC41" s="1546"/>
    </row>
    <row r="42" spans="1:29" ht="15.75" thickBot="1">
      <c r="A42" s="615" t="s">
        <v>2760</v>
      </c>
      <c r="B42" s="888"/>
      <c r="C42" s="2595" t="e">
        <f>R43</f>
        <v>#DIV/0!</v>
      </c>
      <c r="D42" s="2596"/>
      <c r="E42" s="2597" t="e">
        <f>R42</f>
        <v>#DIV/0!</v>
      </c>
      <c r="F42" s="2597"/>
      <c r="G42" s="2595" t="e">
        <f>T42</f>
        <v>#DIV/0!</v>
      </c>
      <c r="H42" s="2596"/>
      <c r="I42" s="2597" t="e">
        <f>V42</f>
        <v>#DIV/0!</v>
      </c>
      <c r="J42" s="2596"/>
      <c r="K42" s="1598"/>
      <c r="L42" s="2130"/>
      <c r="M42" s="2131"/>
      <c r="N42" s="2120"/>
      <c r="O42" s="2131"/>
      <c r="P42" s="3377" t="str">
        <f>A42</f>
        <v>比较价格（元/平方米）</v>
      </c>
      <c r="Q42" s="3377"/>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6"/>
      <c r="Y42" s="1546"/>
      <c r="Z42" s="1546"/>
      <c r="AA42" s="1546"/>
      <c r="AB42" s="1546"/>
      <c r="AC42" s="1546"/>
    </row>
    <row r="43" spans="1:29" ht="15.75" thickBot="1">
      <c r="A43" s="621" t="s">
        <v>2934</v>
      </c>
      <c r="B43" s="622"/>
      <c r="C43" s="2598" t="e">
        <f>R43</f>
        <v>#DIV/0!</v>
      </c>
      <c r="D43" s="2598"/>
      <c r="E43" s="2598"/>
      <c r="F43" s="2598"/>
      <c r="G43" s="2598"/>
      <c r="H43" s="2598"/>
      <c r="I43" s="2598"/>
      <c r="J43" s="2598"/>
      <c r="K43" s="1599"/>
      <c r="L43" s="2130"/>
      <c r="M43" s="2131"/>
      <c r="N43" s="2131"/>
      <c r="O43" s="2131"/>
      <c r="P43" s="3398" t="str">
        <f>A43</f>
        <v>估价对象XX用房的比较价格（楼面单价，元/平方米）</v>
      </c>
      <c r="Q43" s="3399"/>
      <c r="R43" s="3480" t="e">
        <f>IF(F1="售价",ROUND(AVERAGE(R42:V42),0),ROUND(AVERAGE(R42:V42),1))</f>
        <v>#DIV/0!</v>
      </c>
      <c r="S43" s="3480"/>
      <c r="T43" s="3480"/>
      <c r="U43" s="3480"/>
      <c r="V43" s="3480"/>
      <c r="W43" s="348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5" t="str">
        <f>YEAR(C7)&amp;"-"&amp;MONTH(C7)</f>
        <v>2019-5</v>
      </c>
      <c r="D52" s="2757">
        <f>EDATE(C52,-1)</f>
        <v>43556</v>
      </c>
      <c r="E52" s="2757">
        <f t="shared" ref="E52:O52" si="16">EDATE(D52,-1)</f>
        <v>43525</v>
      </c>
      <c r="F52" s="2757">
        <f t="shared" si="16"/>
        <v>43497</v>
      </c>
      <c r="G52" s="2757">
        <f t="shared" si="16"/>
        <v>43466</v>
      </c>
      <c r="H52" s="2757">
        <f t="shared" si="16"/>
        <v>43435</v>
      </c>
      <c r="I52" s="2757">
        <f t="shared" si="16"/>
        <v>43405</v>
      </c>
      <c r="J52" s="2757">
        <f t="shared" si="16"/>
        <v>43374</v>
      </c>
      <c r="K52" s="2757">
        <f t="shared" si="16"/>
        <v>43344</v>
      </c>
      <c r="L52" s="2757">
        <f t="shared" si="16"/>
        <v>43313</v>
      </c>
      <c r="M52" s="2757">
        <f t="shared" si="16"/>
        <v>43282</v>
      </c>
      <c r="N52" s="2757">
        <f t="shared" si="16"/>
        <v>43252</v>
      </c>
      <c r="O52" s="2757">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59" t="s">
        <v>2558</v>
      </c>
      <c r="C76" s="2560" t="s">
        <v>2559</v>
      </c>
      <c r="D76" s="2560" t="s">
        <v>2560</v>
      </c>
      <c r="E76" s="2560" t="s">
        <v>2561</v>
      </c>
      <c r="F76" s="2560" t="s">
        <v>2562</v>
      </c>
      <c r="G76" s="2560"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3" t="s">
        <v>798</v>
      </c>
      <c r="D4" s="3384"/>
      <c r="E4" s="3383" t="s">
        <v>799</v>
      </c>
      <c r="F4" s="3384"/>
      <c r="G4" s="3383" t="s">
        <v>800</v>
      </c>
      <c r="H4" s="3384"/>
      <c r="I4" s="3383" t="s">
        <v>801</v>
      </c>
      <c r="J4" s="3384"/>
      <c r="K4" s="514" t="s">
        <v>802</v>
      </c>
      <c r="L4" s="2119"/>
      <c r="M4" s="2120"/>
      <c r="N4" s="2120"/>
      <c r="O4" s="2120"/>
      <c r="P4" s="3385" t="s">
        <v>803</v>
      </c>
      <c r="Q4" s="3386"/>
      <c r="R4" s="3371" t="s">
        <v>799</v>
      </c>
      <c r="S4" s="3372"/>
      <c r="T4" s="3371" t="s">
        <v>800</v>
      </c>
      <c r="U4" s="3372"/>
      <c r="V4" s="3391" t="s">
        <v>801</v>
      </c>
      <c r="W4" s="3391"/>
      <c r="X4" s="1554"/>
      <c r="Y4" s="3371" t="s">
        <v>803</v>
      </c>
      <c r="Z4" s="3372"/>
      <c r="AA4" s="3366" t="s">
        <v>799</v>
      </c>
      <c r="AB4" s="3367" t="s">
        <v>800</v>
      </c>
      <c r="AC4" s="3366" t="s">
        <v>801</v>
      </c>
    </row>
    <row r="5" spans="1:29" ht="15">
      <c r="A5" s="515"/>
      <c r="B5" s="516"/>
      <c r="C5" s="3394" t="s">
        <v>2928</v>
      </c>
      <c r="D5" s="3395"/>
      <c r="E5" s="3394" t="s">
        <v>2929</v>
      </c>
      <c r="F5" s="3395"/>
      <c r="G5" s="3394" t="s">
        <v>2930</v>
      </c>
      <c r="H5" s="3395"/>
      <c r="I5" s="3394" t="s">
        <v>2931</v>
      </c>
      <c r="J5" s="3395"/>
      <c r="K5" s="514"/>
      <c r="L5" s="2119"/>
      <c r="M5" s="2120"/>
      <c r="N5" s="2120"/>
      <c r="O5" s="2120"/>
      <c r="P5" s="3387"/>
      <c r="Q5" s="3388"/>
      <c r="R5" s="3373"/>
      <c r="S5" s="3374"/>
      <c r="T5" s="3373"/>
      <c r="U5" s="3374"/>
      <c r="V5" s="3391"/>
      <c r="W5" s="3391"/>
      <c r="X5" s="1554"/>
      <c r="Y5" s="3373"/>
      <c r="Z5" s="3374"/>
      <c r="AA5" s="3367"/>
      <c r="AB5" s="3367"/>
      <c r="AC5" s="3367"/>
    </row>
    <row r="6" spans="1:29" ht="15.75" thickBot="1">
      <c r="A6" s="517"/>
      <c r="B6" s="518"/>
      <c r="C6" s="3392" t="s">
        <v>2932</v>
      </c>
      <c r="D6" s="3393"/>
      <c r="E6" s="3396" t="s">
        <v>2932</v>
      </c>
      <c r="F6" s="3397"/>
      <c r="G6" s="3392" t="s">
        <v>2932</v>
      </c>
      <c r="H6" s="3393"/>
      <c r="I6" s="3392" t="s">
        <v>2932</v>
      </c>
      <c r="J6" s="3393"/>
      <c r="K6" s="514" t="s">
        <v>528</v>
      </c>
      <c r="L6" s="2119"/>
      <c r="M6" s="2120"/>
      <c r="N6" s="2120"/>
      <c r="O6" s="2120"/>
      <c r="P6" s="3389"/>
      <c r="Q6" s="3390"/>
      <c r="R6" s="3373"/>
      <c r="S6" s="3374"/>
      <c r="T6" s="3375"/>
      <c r="U6" s="3376"/>
      <c r="V6" s="3391"/>
      <c r="W6" s="3391"/>
      <c r="X6" s="1554"/>
      <c r="Y6" s="3375"/>
      <c r="Z6" s="3376"/>
      <c r="AA6" s="3368"/>
      <c r="AB6" s="3368"/>
      <c r="AC6" s="3368"/>
    </row>
    <row r="7" spans="1:29" s="1216" customFormat="1" ht="15.75" thickBot="1">
      <c r="A7" s="2865"/>
      <c r="B7" s="2872" t="s">
        <v>529</v>
      </c>
      <c r="C7" s="519">
        <f>'数据-取费表'!B2</f>
        <v>43599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9" t="s">
        <v>530</v>
      </c>
      <c r="Q7" s="3378"/>
      <c r="R7" s="1555" t="s">
        <v>8</v>
      </c>
      <c r="S7" s="1556">
        <f t="shared" ref="S7:S14" si="0">F7</f>
        <v>0</v>
      </c>
      <c r="T7" s="1555" t="s">
        <v>8</v>
      </c>
      <c r="U7" s="1556">
        <f t="shared" ref="U7:U14" si="1">H7</f>
        <v>0</v>
      </c>
      <c r="V7" s="1555" t="s">
        <v>8</v>
      </c>
      <c r="W7" s="1556">
        <f t="shared" ref="W7:W14" si="2">J7</f>
        <v>0</v>
      </c>
      <c r="X7" s="1557"/>
      <c r="Y7" s="3369" t="s">
        <v>530</v>
      </c>
      <c r="Z7" s="3370"/>
      <c r="AA7" s="1558" t="e">
        <f>D7/F7</f>
        <v>#DIV/0!</v>
      </c>
      <c r="AB7" s="1558" t="e">
        <f>D7/H7</f>
        <v>#DIV/0!</v>
      </c>
      <c r="AC7" s="1558" t="e">
        <f>D7/J7</f>
        <v>#DIV/0!</v>
      </c>
    </row>
    <row r="8" spans="1:29" s="1216"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9" t="s">
        <v>533</v>
      </c>
      <c r="Q8" s="3370"/>
      <c r="R8" s="1555" t="s">
        <v>8</v>
      </c>
      <c r="S8" s="1556">
        <f t="shared" si="0"/>
        <v>0</v>
      </c>
      <c r="T8" s="1555" t="s">
        <v>8</v>
      </c>
      <c r="U8" s="1556">
        <f t="shared" si="1"/>
        <v>0</v>
      </c>
      <c r="V8" s="1555" t="s">
        <v>8</v>
      </c>
      <c r="W8" s="1556">
        <f t="shared" si="2"/>
        <v>0</v>
      </c>
      <c r="X8" s="1557"/>
      <c r="Y8" s="3369" t="s">
        <v>533</v>
      </c>
      <c r="Z8" s="3370"/>
      <c r="AA8" s="1558" t="e">
        <f t="shared" ref="AA8:AA36" si="3">D8/F8</f>
        <v>#DIV/0!</v>
      </c>
      <c r="AB8" s="1558" t="e">
        <f t="shared" ref="AB8:AB36" si="4">D8/H8</f>
        <v>#DIV/0!</v>
      </c>
      <c r="AC8" s="1558" t="e">
        <f t="shared" ref="AC8:AC36" si="5">D8/J8</f>
        <v>#DIV/0!</v>
      </c>
    </row>
    <row r="9" spans="1:29" s="1216" customFormat="1" ht="15">
      <c r="A9" s="2867"/>
      <c r="B9" s="2874"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7" t="s">
        <v>535</v>
      </c>
      <c r="Q9" s="1147" t="str">
        <f t="shared" ref="Q9:Q14" si="6">B9</f>
        <v>用途</v>
      </c>
      <c r="R9" s="1555" t="s">
        <v>8</v>
      </c>
      <c r="S9" s="1556">
        <f t="shared" si="0"/>
        <v>100</v>
      </c>
      <c r="T9" s="1555" t="s">
        <v>8</v>
      </c>
      <c r="U9" s="1556">
        <f t="shared" si="1"/>
        <v>100</v>
      </c>
      <c r="V9" s="1555" t="s">
        <v>8</v>
      </c>
      <c r="W9" s="1556">
        <f t="shared" si="2"/>
        <v>100</v>
      </c>
      <c r="X9" s="1557"/>
      <c r="Y9" s="3334" t="s">
        <v>536</v>
      </c>
      <c r="Z9" s="1146" t="str">
        <f t="shared" ref="Z9:Z14" si="7">Q9</f>
        <v>用途</v>
      </c>
      <c r="AA9" s="1558">
        <f t="shared" si="3"/>
        <v>1</v>
      </c>
      <c r="AB9" s="1558">
        <f t="shared" si="4"/>
        <v>1</v>
      </c>
      <c r="AC9" s="1558">
        <f t="shared" si="5"/>
        <v>1</v>
      </c>
    </row>
    <row r="10" spans="1:29" s="1334" customFormat="1" ht="27">
      <c r="A10" s="2868"/>
      <c r="B10" s="2873"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7"/>
      <c r="Q10" s="1147" t="str">
        <f t="shared" si="6"/>
        <v>土地使用年限（年）</v>
      </c>
      <c r="R10" s="1555" t="s">
        <v>8</v>
      </c>
      <c r="S10" s="1556">
        <f t="shared" si="0"/>
        <v>100</v>
      </c>
      <c r="T10" s="1555" t="s">
        <v>8</v>
      </c>
      <c r="U10" s="1556">
        <f t="shared" si="1"/>
        <v>100</v>
      </c>
      <c r="V10" s="1555" t="s">
        <v>8</v>
      </c>
      <c r="W10" s="1556">
        <f t="shared" si="2"/>
        <v>100</v>
      </c>
      <c r="X10" s="1557"/>
      <c r="Y10" s="3334"/>
      <c r="Z10" s="1146" t="str">
        <f t="shared" si="7"/>
        <v>土地使用年限（年）</v>
      </c>
      <c r="AA10" s="1558">
        <f t="shared" si="3"/>
        <v>1</v>
      </c>
      <c r="AB10" s="1558">
        <f t="shared" si="4"/>
        <v>1</v>
      </c>
      <c r="AC10" s="1558">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7"/>
      <c r="Q11" s="1147">
        <f t="shared" si="6"/>
        <v>111</v>
      </c>
      <c r="R11" s="1555" t="s">
        <v>8</v>
      </c>
      <c r="S11" s="1556">
        <f t="shared" si="0"/>
        <v>100</v>
      </c>
      <c r="T11" s="1555" t="s">
        <v>8</v>
      </c>
      <c r="U11" s="1556">
        <f t="shared" si="1"/>
        <v>100</v>
      </c>
      <c r="V11" s="1555" t="s">
        <v>8</v>
      </c>
      <c r="W11" s="1556">
        <f t="shared" si="2"/>
        <v>100</v>
      </c>
      <c r="X11" s="1557"/>
      <c r="Y11" s="3334"/>
      <c r="Z11" s="1146">
        <f t="shared" si="7"/>
        <v>111</v>
      </c>
      <c r="AA11" s="1558">
        <f t="shared" si="3"/>
        <v>1</v>
      </c>
      <c r="AB11" s="1558">
        <f t="shared" si="4"/>
        <v>1</v>
      </c>
      <c r="AC11" s="1558">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7"/>
      <c r="Q12" s="1147">
        <f t="shared" si="6"/>
        <v>111</v>
      </c>
      <c r="R12" s="1555" t="s">
        <v>8</v>
      </c>
      <c r="S12" s="1556">
        <f t="shared" si="0"/>
        <v>100</v>
      </c>
      <c r="T12" s="1555" t="s">
        <v>8</v>
      </c>
      <c r="U12" s="1556">
        <f t="shared" si="1"/>
        <v>100</v>
      </c>
      <c r="V12" s="1555" t="s">
        <v>8</v>
      </c>
      <c r="W12" s="1556">
        <f t="shared" si="2"/>
        <v>100</v>
      </c>
      <c r="X12" s="1557"/>
      <c r="Y12" s="3334"/>
      <c r="Z12" s="1146">
        <f t="shared" si="7"/>
        <v>111</v>
      </c>
      <c r="AA12" s="1558">
        <f>D12/F12</f>
        <v>1</v>
      </c>
      <c r="AB12" s="1558">
        <f>D12/H12</f>
        <v>1</v>
      </c>
      <c r="AC12" s="1558">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7"/>
      <c r="Q13" s="1147">
        <f t="shared" si="6"/>
        <v>111</v>
      </c>
      <c r="R13" s="1555" t="s">
        <v>8</v>
      </c>
      <c r="S13" s="1556">
        <f t="shared" si="0"/>
        <v>100</v>
      </c>
      <c r="T13" s="1555" t="s">
        <v>8</v>
      </c>
      <c r="U13" s="1556">
        <f t="shared" si="1"/>
        <v>100</v>
      </c>
      <c r="V13" s="1555" t="s">
        <v>8</v>
      </c>
      <c r="W13" s="1556">
        <f t="shared" si="2"/>
        <v>100</v>
      </c>
      <c r="X13" s="1557"/>
      <c r="Y13" s="3334"/>
      <c r="Z13" s="1146">
        <f t="shared" si="7"/>
        <v>111</v>
      </c>
      <c r="AA13" s="1558">
        <f t="shared" si="3"/>
        <v>1</v>
      </c>
      <c r="AB13" s="1558">
        <f t="shared" si="4"/>
        <v>1</v>
      </c>
      <c r="AC13" s="1558">
        <f t="shared" si="5"/>
        <v>1</v>
      </c>
    </row>
    <row r="14" spans="1:29" ht="85.5">
      <c r="A14" s="2863"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9" t="s">
        <v>540</v>
      </c>
      <c r="Q14" s="1559" t="str">
        <f t="shared" si="6"/>
        <v>交通便捷度</v>
      </c>
      <c r="R14" s="1560" t="s">
        <v>8</v>
      </c>
      <c r="S14" s="1561">
        <f t="shared" si="0"/>
        <v>100</v>
      </c>
      <c r="T14" s="1560" t="s">
        <v>8</v>
      </c>
      <c r="U14" s="1561">
        <f t="shared" si="1"/>
        <v>100</v>
      </c>
      <c r="V14" s="1560" t="s">
        <v>8</v>
      </c>
      <c r="W14" s="1561">
        <f t="shared" si="2"/>
        <v>100</v>
      </c>
      <c r="X14" s="1554"/>
      <c r="Y14" s="337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0"/>
      <c r="Q15" s="1559"/>
      <c r="R15" s="1560"/>
      <c r="S15" s="1561"/>
      <c r="T15" s="1560"/>
      <c r="U15" s="1561"/>
      <c r="V15" s="1560"/>
      <c r="W15" s="1561"/>
      <c r="X15" s="1554"/>
      <c r="Y15" s="3380"/>
      <c r="Z15" s="1562"/>
      <c r="AA15" s="1563">
        <v>1</v>
      </c>
      <c r="AB15" s="1563">
        <v>1</v>
      </c>
      <c r="AC15" s="1563">
        <v>1</v>
      </c>
    </row>
    <row r="16" spans="1:29" ht="42.75">
      <c r="A16" s="515"/>
      <c r="B16" s="2565"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0"/>
      <c r="Q16" s="1559" t="str">
        <f>B16</f>
        <v>公共配套设施</v>
      </c>
      <c r="R16" s="1560" t="s">
        <v>8</v>
      </c>
      <c r="S16" s="1561">
        <f>F16</f>
        <v>100</v>
      </c>
      <c r="T16" s="1560" t="s">
        <v>8</v>
      </c>
      <c r="U16" s="1561">
        <f>H16</f>
        <v>100</v>
      </c>
      <c r="V16" s="1560" t="s">
        <v>8</v>
      </c>
      <c r="W16" s="1561">
        <f>J16</f>
        <v>100</v>
      </c>
      <c r="X16" s="1554"/>
      <c r="Y16" s="338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0"/>
      <c r="Q17" s="1559"/>
      <c r="R17" s="1560"/>
      <c r="S17" s="1561"/>
      <c r="T17" s="1560"/>
      <c r="U17" s="1561"/>
      <c r="V17" s="1560"/>
      <c r="W17" s="1561"/>
      <c r="X17" s="1554"/>
      <c r="Y17" s="3380"/>
      <c r="Z17" s="1562"/>
      <c r="AA17" s="1563">
        <v>1</v>
      </c>
      <c r="AB17" s="1563">
        <v>1</v>
      </c>
      <c r="AC17" s="1563">
        <v>1</v>
      </c>
    </row>
    <row r="18" spans="1:29" ht="28.5">
      <c r="A18" s="515"/>
      <c r="B18" s="2553"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0"/>
      <c r="Q18" s="2541" t="str">
        <f>B18</f>
        <v>基础设施水平</v>
      </c>
      <c r="R18" s="1560" t="s">
        <v>8</v>
      </c>
      <c r="S18" s="1561">
        <f>F18</f>
        <v>100</v>
      </c>
      <c r="T18" s="1560" t="s">
        <v>8</v>
      </c>
      <c r="U18" s="1561">
        <f>H18</f>
        <v>100</v>
      </c>
      <c r="V18" s="1560" t="s">
        <v>8</v>
      </c>
      <c r="W18" s="1561">
        <f>J18</f>
        <v>100</v>
      </c>
      <c r="X18" s="2543"/>
      <c r="Y18" s="3380"/>
      <c r="Z18" s="2542"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4"/>
      <c r="L19" s="2128"/>
      <c r="M19" s="2120"/>
      <c r="N19" s="2120"/>
      <c r="O19" s="2127"/>
      <c r="P19" s="3380"/>
      <c r="Q19" s="2541"/>
      <c r="R19" s="1560"/>
      <c r="S19" s="1561"/>
      <c r="T19" s="1560"/>
      <c r="U19" s="1561"/>
      <c r="V19" s="1560"/>
      <c r="W19" s="1561"/>
      <c r="X19" s="2543"/>
      <c r="Y19" s="3380"/>
      <c r="Z19" s="2542"/>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0"/>
      <c r="Q20" s="1559" t="str">
        <f>B20</f>
        <v>自然及人文环境</v>
      </c>
      <c r="R20" s="1560" t="s">
        <v>8</v>
      </c>
      <c r="S20" s="1561">
        <f>F20</f>
        <v>100</v>
      </c>
      <c r="T20" s="1560" t="s">
        <v>8</v>
      </c>
      <c r="U20" s="1561">
        <f>H20</f>
        <v>100</v>
      </c>
      <c r="V20" s="1560" t="s">
        <v>8</v>
      </c>
      <c r="W20" s="1561">
        <f>J20</f>
        <v>100</v>
      </c>
      <c r="X20" s="1554"/>
      <c r="Y20" s="338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0"/>
      <c r="Q21" s="1559"/>
      <c r="R21" s="1560"/>
      <c r="S21" s="1561"/>
      <c r="T21" s="1560"/>
      <c r="U21" s="1561"/>
      <c r="V21" s="1560"/>
      <c r="W21" s="1561"/>
      <c r="X21" s="1554"/>
      <c r="Y21" s="338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0"/>
      <c r="Q22" s="1559" t="str">
        <f>B22</f>
        <v>楼层</v>
      </c>
      <c r="R22" s="1560" t="s">
        <v>8</v>
      </c>
      <c r="S22" s="1561">
        <f>F22</f>
        <v>100</v>
      </c>
      <c r="T22" s="1560" t="s">
        <v>8</v>
      </c>
      <c r="U22" s="1561">
        <f>H22</f>
        <v>100</v>
      </c>
      <c r="V22" s="1560" t="s">
        <v>8</v>
      </c>
      <c r="W22" s="1561">
        <f>J22</f>
        <v>100</v>
      </c>
      <c r="X22" s="1554"/>
      <c r="Y22" s="338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0"/>
      <c r="Q23" s="1559">
        <f>B23</f>
        <v>111</v>
      </c>
      <c r="R23" s="1560" t="s">
        <v>8</v>
      </c>
      <c r="S23" s="1561">
        <f>F23</f>
        <v>100</v>
      </c>
      <c r="T23" s="1560" t="s">
        <v>8</v>
      </c>
      <c r="U23" s="1561">
        <f>H23</f>
        <v>100</v>
      </c>
      <c r="V23" s="1560" t="s">
        <v>8</v>
      </c>
      <c r="W23" s="1561">
        <f>J23</f>
        <v>100</v>
      </c>
      <c r="X23" s="1554"/>
      <c r="Y23" s="338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0"/>
      <c r="Q24" s="1559">
        <f t="shared" ref="Q24:Q36" si="11">B24</f>
        <v>111</v>
      </c>
      <c r="R24" s="1560" t="s">
        <v>8</v>
      </c>
      <c r="S24" s="1561">
        <f>F24</f>
        <v>100</v>
      </c>
      <c r="T24" s="1560" t="s">
        <v>8</v>
      </c>
      <c r="U24" s="1561">
        <f>H24</f>
        <v>100</v>
      </c>
      <c r="V24" s="1560" t="s">
        <v>8</v>
      </c>
      <c r="W24" s="1561">
        <f>J24</f>
        <v>100</v>
      </c>
      <c r="X24" s="1554"/>
      <c r="Y24" s="338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0"/>
      <c r="Q25" s="1147">
        <f t="shared" si="11"/>
        <v>111</v>
      </c>
      <c r="R25" s="1555" t="s">
        <v>8</v>
      </c>
      <c r="S25" s="1556">
        <f>F25</f>
        <v>100</v>
      </c>
      <c r="T25" s="1555" t="s">
        <v>8</v>
      </c>
      <c r="U25" s="1556">
        <f>H25</f>
        <v>100</v>
      </c>
      <c r="V25" s="1555" t="s">
        <v>8</v>
      </c>
      <c r="W25" s="1556">
        <f>J25</f>
        <v>100</v>
      </c>
      <c r="X25" s="1557"/>
      <c r="Y25" s="3380"/>
      <c r="Z25" s="1146">
        <f>Q25</f>
        <v>111</v>
      </c>
      <c r="AA25" s="1563">
        <f>D25/F25</f>
        <v>1</v>
      </c>
      <c r="AB25" s="1563">
        <f>D25/H25</f>
        <v>1</v>
      </c>
      <c r="AC25" s="1563">
        <f>D25/J25</f>
        <v>1</v>
      </c>
    </row>
    <row r="26" spans="1:29" ht="15">
      <c r="A26" s="2860"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2"/>
      <c r="Q27" s="1591" t="str">
        <f t="shared" si="11"/>
        <v>项目停车位配比</v>
      </c>
      <c r="R27" s="1564" t="s">
        <v>8</v>
      </c>
      <c r="S27" s="1565">
        <f t="shared" si="12"/>
        <v>100</v>
      </c>
      <c r="T27" s="1564" t="s">
        <v>8</v>
      </c>
      <c r="U27" s="1565">
        <f t="shared" si="13"/>
        <v>100</v>
      </c>
      <c r="V27" s="1564" t="s">
        <v>8</v>
      </c>
      <c r="W27" s="1565">
        <f t="shared" si="14"/>
        <v>100</v>
      </c>
      <c r="X27" s="1566"/>
      <c r="Y27" s="338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2"/>
      <c r="Q28" s="1559" t="str">
        <f t="shared" si="11"/>
        <v>公共部分装修</v>
      </c>
      <c r="R28" s="1560" t="s">
        <v>8</v>
      </c>
      <c r="S28" s="1561">
        <f t="shared" si="12"/>
        <v>100</v>
      </c>
      <c r="T28" s="1560" t="s">
        <v>8</v>
      </c>
      <c r="U28" s="1561">
        <f t="shared" si="13"/>
        <v>100</v>
      </c>
      <c r="V28" s="1560" t="s">
        <v>8</v>
      </c>
      <c r="W28" s="1561">
        <f t="shared" si="14"/>
        <v>100</v>
      </c>
      <c r="X28" s="1554"/>
      <c r="Y28" s="338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2"/>
      <c r="Q29" s="1559" t="str">
        <f t="shared" si="11"/>
        <v>成新率</v>
      </c>
      <c r="R29" s="1560" t="s">
        <v>8</v>
      </c>
      <c r="S29" s="1561" t="e">
        <f t="shared" si="12"/>
        <v>#N/A</v>
      </c>
      <c r="T29" s="1560" t="s">
        <v>8</v>
      </c>
      <c r="U29" s="1561" t="e">
        <f t="shared" si="13"/>
        <v>#N/A</v>
      </c>
      <c r="V29" s="1560" t="s">
        <v>8</v>
      </c>
      <c r="W29" s="1561" t="e">
        <f t="shared" si="14"/>
        <v>#N/A</v>
      </c>
      <c r="X29" s="1554"/>
      <c r="Y29" s="338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2"/>
      <c r="Q30" s="1559" t="str">
        <f t="shared" si="11"/>
        <v>物业等级</v>
      </c>
      <c r="R30" s="1560" t="s">
        <v>8</v>
      </c>
      <c r="S30" s="1561">
        <f t="shared" si="12"/>
        <v>100</v>
      </c>
      <c r="T30" s="1560" t="s">
        <v>8</v>
      </c>
      <c r="U30" s="1561">
        <f t="shared" si="13"/>
        <v>100</v>
      </c>
      <c r="V30" s="1560" t="s">
        <v>8</v>
      </c>
      <c r="W30" s="1561">
        <f t="shared" si="14"/>
        <v>100</v>
      </c>
      <c r="X30" s="1554"/>
      <c r="Y30" s="338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2"/>
      <c r="Q31" s="1147" t="str">
        <f t="shared" si="11"/>
        <v>停车位面积</v>
      </c>
      <c r="R31" s="1555" t="s">
        <v>8</v>
      </c>
      <c r="S31" s="1556" t="e">
        <f t="shared" si="12"/>
        <v>#N/A</v>
      </c>
      <c r="T31" s="1555" t="s">
        <v>8</v>
      </c>
      <c r="U31" s="1556" t="e">
        <f t="shared" si="13"/>
        <v>#N/A</v>
      </c>
      <c r="V31" s="1555" t="s">
        <v>8</v>
      </c>
      <c r="W31" s="1556" t="e">
        <f t="shared" si="14"/>
        <v>#N/A</v>
      </c>
      <c r="X31" s="1557"/>
      <c r="Y31" s="338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2" t="s">
        <v>550</v>
      </c>
      <c r="Q32" s="1559" t="str">
        <f t="shared" si="11"/>
        <v>车位类型</v>
      </c>
      <c r="R32" s="1560" t="s">
        <v>8</v>
      </c>
      <c r="S32" s="1561">
        <f t="shared" si="12"/>
        <v>100</v>
      </c>
      <c r="T32" s="1560" t="s">
        <v>8</v>
      </c>
      <c r="U32" s="1561">
        <f t="shared" si="13"/>
        <v>100</v>
      </c>
      <c r="V32" s="1560" t="s">
        <v>8</v>
      </c>
      <c r="W32" s="1561">
        <f t="shared" si="14"/>
        <v>100</v>
      </c>
      <c r="X32" s="1554"/>
      <c r="Y32" s="338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2"/>
      <c r="Q33" s="1559" t="str">
        <f t="shared" si="11"/>
        <v>是否直接入户</v>
      </c>
      <c r="R33" s="1560" t="s">
        <v>8</v>
      </c>
      <c r="S33" s="1561">
        <f t="shared" si="12"/>
        <v>100</v>
      </c>
      <c r="T33" s="1560" t="s">
        <v>8</v>
      </c>
      <c r="U33" s="1561">
        <f t="shared" si="13"/>
        <v>100</v>
      </c>
      <c r="V33" s="1560" t="s">
        <v>8</v>
      </c>
      <c r="W33" s="1561">
        <f t="shared" si="14"/>
        <v>100</v>
      </c>
      <c r="X33" s="1554"/>
      <c r="Y33" s="338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2"/>
      <c r="Q34" s="1559">
        <f t="shared" si="11"/>
        <v>111</v>
      </c>
      <c r="R34" s="1560" t="s">
        <v>8</v>
      </c>
      <c r="S34" s="1561">
        <f t="shared" si="12"/>
        <v>100</v>
      </c>
      <c r="T34" s="1560" t="s">
        <v>8</v>
      </c>
      <c r="U34" s="1561">
        <f t="shared" si="13"/>
        <v>100</v>
      </c>
      <c r="V34" s="1560" t="s">
        <v>8</v>
      </c>
      <c r="W34" s="1561">
        <f t="shared" si="14"/>
        <v>100</v>
      </c>
      <c r="X34" s="1554"/>
      <c r="Y34" s="338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2"/>
      <c r="Q35" s="1591">
        <f t="shared" si="11"/>
        <v>111</v>
      </c>
      <c r="R35" s="1564" t="s">
        <v>8</v>
      </c>
      <c r="S35" s="1565">
        <f t="shared" si="12"/>
        <v>100</v>
      </c>
      <c r="T35" s="1564" t="s">
        <v>8</v>
      </c>
      <c r="U35" s="1565">
        <f t="shared" si="13"/>
        <v>100</v>
      </c>
      <c r="V35" s="1564" t="s">
        <v>8</v>
      </c>
      <c r="W35" s="1565">
        <f t="shared" si="14"/>
        <v>100</v>
      </c>
      <c r="X35" s="1566"/>
      <c r="Y35" s="338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2"/>
      <c r="Q36" s="1559">
        <f t="shared" si="11"/>
        <v>111</v>
      </c>
      <c r="R36" s="1560" t="s">
        <v>8</v>
      </c>
      <c r="S36" s="1561">
        <f t="shared" si="12"/>
        <v>100</v>
      </c>
      <c r="T36" s="1560" t="s">
        <v>8</v>
      </c>
      <c r="U36" s="1561">
        <f t="shared" si="13"/>
        <v>100</v>
      </c>
      <c r="V36" s="1560" t="s">
        <v>8</v>
      </c>
      <c r="W36" s="1561">
        <f t="shared" si="14"/>
        <v>100</v>
      </c>
      <c r="X36" s="1554"/>
      <c r="Y36" s="3382"/>
      <c r="Z36" s="1562">
        <f t="shared" si="15"/>
        <v>111</v>
      </c>
      <c r="AA36" s="1563">
        <f t="shared" si="3"/>
        <v>1</v>
      </c>
      <c r="AB36" s="1563">
        <f t="shared" si="4"/>
        <v>1</v>
      </c>
      <c r="AC36" s="1563">
        <f t="shared" si="5"/>
        <v>1</v>
      </c>
    </row>
    <row r="37" spans="1:29" ht="15">
      <c r="A37" s="1832" t="s">
        <v>2077</v>
      </c>
      <c r="B37" s="1833" t="s">
        <v>2078</v>
      </c>
      <c r="C37" s="2589" t="s">
        <v>1</v>
      </c>
      <c r="D37" s="2590"/>
      <c r="E37" s="2591"/>
      <c r="F37" s="2592"/>
      <c r="G37" s="2593"/>
      <c r="H37" s="2594"/>
      <c r="I37" s="2591"/>
      <c r="J37" s="2594"/>
      <c r="K37" s="1597"/>
      <c r="L37" s="2130"/>
      <c r="M37" s="2131"/>
      <c r="N37" s="2120"/>
      <c r="O37" s="2131"/>
      <c r="P37" s="3377" t="str">
        <f>A37</f>
        <v>成交单价</v>
      </c>
      <c r="Q37" s="3377"/>
      <c r="R37" s="3481">
        <f>E37</f>
        <v>0</v>
      </c>
      <c r="S37" s="3481"/>
      <c r="T37" s="3481">
        <f>G37</f>
        <v>0</v>
      </c>
      <c r="U37" s="3481"/>
      <c r="V37" s="3481">
        <f>I37</f>
        <v>0</v>
      </c>
      <c r="W37" s="3481"/>
      <c r="X37" s="1546"/>
      <c r="Y37" s="1568"/>
      <c r="Z37" s="1546"/>
      <c r="AA37" s="1546"/>
      <c r="AB37" s="1546"/>
      <c r="AC37" s="1546"/>
    </row>
    <row r="38" spans="1:29" ht="15.75" thickBot="1">
      <c r="A38" s="615" t="s">
        <v>2760</v>
      </c>
      <c r="B38" s="888"/>
      <c r="C38" s="2595" t="e">
        <f>R39</f>
        <v>#DIV/0!</v>
      </c>
      <c r="D38" s="2596"/>
      <c r="E38" s="2597" t="e">
        <f>R38</f>
        <v>#DIV/0!</v>
      </c>
      <c r="F38" s="2597"/>
      <c r="G38" s="2595" t="e">
        <f>T38</f>
        <v>#DIV/0!</v>
      </c>
      <c r="H38" s="2596"/>
      <c r="I38" s="2597" t="e">
        <f>V38</f>
        <v>#DIV/0!</v>
      </c>
      <c r="J38" s="2596"/>
      <c r="K38" s="1598"/>
      <c r="L38" s="2130"/>
      <c r="M38" s="2131"/>
      <c r="N38" s="2131"/>
      <c r="O38" s="2131"/>
      <c r="P38" s="3377" t="str">
        <f>A38</f>
        <v>比较价格（元/平方米）</v>
      </c>
      <c r="Q38" s="3377"/>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6"/>
      <c r="Y38" s="1546"/>
      <c r="Z38" s="1546"/>
      <c r="AA38" s="1546"/>
      <c r="AB38" s="1546"/>
      <c r="AC38" s="1546"/>
    </row>
    <row r="39" spans="1:29" ht="15.75" thickBot="1">
      <c r="A39" s="621" t="s">
        <v>2934</v>
      </c>
      <c r="B39" s="622"/>
      <c r="C39" s="2598" t="e">
        <f>R39</f>
        <v>#DIV/0!</v>
      </c>
      <c r="D39" s="2598"/>
      <c r="E39" s="2598"/>
      <c r="F39" s="2598"/>
      <c r="G39" s="2598"/>
      <c r="H39" s="2598"/>
      <c r="I39" s="2598"/>
      <c r="J39" s="2598"/>
      <c r="K39" s="1599"/>
      <c r="L39" s="2130"/>
      <c r="M39" s="2131"/>
      <c r="N39" s="2131"/>
      <c r="O39" s="2131"/>
      <c r="P39" s="3398" t="str">
        <f>A39</f>
        <v>估价对象XX用房的比较价格（楼面单价，元/平方米）</v>
      </c>
      <c r="Q39" s="3399"/>
      <c r="R39" s="3480" t="e">
        <f>IF(F1="售价",ROUND(AVERAGE(R38:V38),0),ROUND(AVERAGE(R38:V38),1))</f>
        <v>#DIV/0!</v>
      </c>
      <c r="S39" s="3480"/>
      <c r="T39" s="3480"/>
      <c r="U39" s="3480"/>
      <c r="V39" s="3480"/>
      <c r="W39" s="348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5" t="str">
        <f>YEAR(C7)&amp;"-"&amp;MONTH(C7)</f>
        <v>2019-5</v>
      </c>
      <c r="D48" s="2757">
        <f>EDATE(C48,-1)</f>
        <v>43556</v>
      </c>
      <c r="E48" s="2757">
        <f t="shared" ref="E48:O48" si="16">EDATE(D48,-1)</f>
        <v>43525</v>
      </c>
      <c r="F48" s="2757">
        <f t="shared" si="16"/>
        <v>43497</v>
      </c>
      <c r="G48" s="2757">
        <f t="shared" si="16"/>
        <v>43466</v>
      </c>
      <c r="H48" s="2757">
        <f t="shared" si="16"/>
        <v>43435</v>
      </c>
      <c r="I48" s="2757">
        <f t="shared" si="16"/>
        <v>43405</v>
      </c>
      <c r="J48" s="2757">
        <f t="shared" si="16"/>
        <v>43374</v>
      </c>
      <c r="K48" s="2757">
        <f t="shared" si="16"/>
        <v>43344</v>
      </c>
      <c r="L48" s="2757">
        <f t="shared" si="16"/>
        <v>43313</v>
      </c>
      <c r="M48" s="2757">
        <f t="shared" si="16"/>
        <v>43282</v>
      </c>
      <c r="N48" s="2757">
        <f t="shared" si="16"/>
        <v>43252</v>
      </c>
      <c r="O48" s="2757">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6">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59" t="s">
        <v>2558</v>
      </c>
      <c r="C67" s="2560" t="s">
        <v>2559</v>
      </c>
      <c r="D67" s="2560" t="s">
        <v>2560</v>
      </c>
      <c r="E67" s="2560" t="s">
        <v>2561</v>
      </c>
      <c r="F67" s="2560" t="s">
        <v>2562</v>
      </c>
      <c r="G67" s="2560" t="s">
        <v>2563</v>
      </c>
      <c r="H67" s="674"/>
      <c r="I67" s="674"/>
      <c r="J67" s="674"/>
      <c r="K67" s="674"/>
      <c r="L67" s="674"/>
      <c r="M67" s="2563"/>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3" t="s">
        <v>798</v>
      </c>
      <c r="D4" s="3384"/>
      <c r="E4" s="3413" t="s">
        <v>799</v>
      </c>
      <c r="F4" s="3414"/>
      <c r="G4" s="3383" t="s">
        <v>800</v>
      </c>
      <c r="H4" s="3384"/>
      <c r="I4" s="3383" t="s">
        <v>801</v>
      </c>
      <c r="J4" s="3384"/>
      <c r="K4" s="514" t="s">
        <v>802</v>
      </c>
      <c r="L4" s="2119"/>
      <c r="M4" s="2120"/>
      <c r="N4" s="2120"/>
      <c r="O4" s="2120"/>
      <c r="P4" s="3385" t="s">
        <v>803</v>
      </c>
      <c r="Q4" s="3386"/>
      <c r="R4" s="3371" t="s">
        <v>799</v>
      </c>
      <c r="S4" s="3372"/>
      <c r="T4" s="3371" t="s">
        <v>800</v>
      </c>
      <c r="U4" s="3372"/>
      <c r="V4" s="3391" t="s">
        <v>801</v>
      </c>
      <c r="W4" s="3391"/>
      <c r="X4" s="1554"/>
      <c r="Y4" s="3371" t="s">
        <v>803</v>
      </c>
      <c r="Z4" s="3372"/>
      <c r="AA4" s="3366" t="s">
        <v>799</v>
      </c>
      <c r="AB4" s="3367" t="s">
        <v>800</v>
      </c>
      <c r="AC4" s="3366" t="s">
        <v>801</v>
      </c>
    </row>
    <row r="5" spans="1:29" ht="15">
      <c r="A5" s="515"/>
      <c r="B5" s="516"/>
      <c r="C5" s="3394" t="s">
        <v>2928</v>
      </c>
      <c r="D5" s="3395"/>
      <c r="E5" s="3415" t="s">
        <v>2929</v>
      </c>
      <c r="F5" s="3416"/>
      <c r="G5" s="3394" t="s">
        <v>2930</v>
      </c>
      <c r="H5" s="3395"/>
      <c r="I5" s="3394" t="s">
        <v>2931</v>
      </c>
      <c r="J5" s="3395"/>
      <c r="K5" s="514"/>
      <c r="L5" s="2119"/>
      <c r="M5" s="2120"/>
      <c r="N5" s="2120"/>
      <c r="O5" s="2120"/>
      <c r="P5" s="3387"/>
      <c r="Q5" s="3388"/>
      <c r="R5" s="3373"/>
      <c r="S5" s="3374"/>
      <c r="T5" s="3373"/>
      <c r="U5" s="3374"/>
      <c r="V5" s="3391"/>
      <c r="W5" s="3391"/>
      <c r="X5" s="1554"/>
      <c r="Y5" s="3373"/>
      <c r="Z5" s="3374"/>
      <c r="AA5" s="3367"/>
      <c r="AB5" s="3367"/>
      <c r="AC5" s="3367"/>
    </row>
    <row r="6" spans="1:29" ht="15.75" thickBot="1">
      <c r="A6" s="517"/>
      <c r="B6" s="518"/>
      <c r="C6" s="3392" t="s">
        <v>2932</v>
      </c>
      <c r="D6" s="3393"/>
      <c r="E6" s="3417" t="s">
        <v>2932</v>
      </c>
      <c r="F6" s="3418"/>
      <c r="G6" s="3392" t="s">
        <v>2932</v>
      </c>
      <c r="H6" s="3393"/>
      <c r="I6" s="3392" t="s">
        <v>2932</v>
      </c>
      <c r="J6" s="3393"/>
      <c r="K6" s="514" t="s">
        <v>528</v>
      </c>
      <c r="L6" s="2119"/>
      <c r="M6" s="2120"/>
      <c r="N6" s="2120"/>
      <c r="O6" s="2120"/>
      <c r="P6" s="3389"/>
      <c r="Q6" s="3390"/>
      <c r="R6" s="3373"/>
      <c r="S6" s="3374"/>
      <c r="T6" s="3375"/>
      <c r="U6" s="3376"/>
      <c r="V6" s="3391"/>
      <c r="W6" s="3391"/>
      <c r="X6" s="1554"/>
      <c r="Y6" s="3375"/>
      <c r="Z6" s="3376"/>
      <c r="AA6" s="3368"/>
      <c r="AB6" s="3368"/>
      <c r="AC6" s="3368"/>
    </row>
    <row r="7" spans="1:29" s="1216" customFormat="1" ht="15.75" thickBot="1">
      <c r="A7" s="2865"/>
      <c r="B7" s="2872" t="s">
        <v>529</v>
      </c>
      <c r="C7" s="519">
        <f>'数据-取费表'!B2</f>
        <v>43599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9" t="s">
        <v>530</v>
      </c>
      <c r="Q7" s="3378"/>
      <c r="R7" s="1555" t="s">
        <v>8</v>
      </c>
      <c r="S7" s="1556">
        <f t="shared" ref="S7:S14" si="0">F7</f>
        <v>0</v>
      </c>
      <c r="T7" s="1555" t="s">
        <v>8</v>
      </c>
      <c r="U7" s="1556">
        <f t="shared" ref="U7:U14" si="1">H7</f>
        <v>0</v>
      </c>
      <c r="V7" s="1555" t="s">
        <v>8</v>
      </c>
      <c r="W7" s="1556">
        <f t="shared" ref="W7:W14" si="2">J7</f>
        <v>0</v>
      </c>
      <c r="X7" s="1557"/>
      <c r="Y7" s="3369" t="s">
        <v>530</v>
      </c>
      <c r="Z7" s="3370"/>
      <c r="AA7" s="1558" t="e">
        <f>D7/F7</f>
        <v>#DIV/0!</v>
      </c>
      <c r="AB7" s="1558" t="e">
        <f>D7/H7</f>
        <v>#DIV/0!</v>
      </c>
      <c r="AC7" s="1558" t="e">
        <f>D7/J7</f>
        <v>#DIV/0!</v>
      </c>
    </row>
    <row r="8" spans="1:29" s="1216"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9" t="s">
        <v>533</v>
      </c>
      <c r="Q8" s="3370"/>
      <c r="R8" s="1555" t="s">
        <v>8</v>
      </c>
      <c r="S8" s="1556">
        <f t="shared" si="0"/>
        <v>0</v>
      </c>
      <c r="T8" s="1555" t="s">
        <v>8</v>
      </c>
      <c r="U8" s="1556">
        <f t="shared" si="1"/>
        <v>0</v>
      </c>
      <c r="V8" s="1555" t="s">
        <v>8</v>
      </c>
      <c r="W8" s="1556">
        <f t="shared" si="2"/>
        <v>0</v>
      </c>
      <c r="X8" s="1557"/>
      <c r="Y8" s="3369" t="s">
        <v>533</v>
      </c>
      <c r="Z8" s="3370"/>
      <c r="AA8" s="1558" t="e">
        <f t="shared" ref="AA8:AA34" si="3">D8/F8</f>
        <v>#DIV/0!</v>
      </c>
      <c r="AB8" s="1558" t="e">
        <f t="shared" ref="AB8:AB34" si="4">D8/H8</f>
        <v>#DIV/0!</v>
      </c>
      <c r="AC8" s="1558" t="e">
        <f t="shared" ref="AC8:AC34" si="5">D8/J8</f>
        <v>#DIV/0!</v>
      </c>
    </row>
    <row r="9" spans="1:29" s="1216" customFormat="1" ht="15">
      <c r="A9" s="2867"/>
      <c r="B9" s="2874"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7" t="s">
        <v>535</v>
      </c>
      <c r="Q9" s="1147" t="str">
        <f t="shared" ref="Q9:Q14" si="6">B9</f>
        <v>用途</v>
      </c>
      <c r="R9" s="1555" t="s">
        <v>8</v>
      </c>
      <c r="S9" s="1556">
        <f t="shared" si="0"/>
        <v>100</v>
      </c>
      <c r="T9" s="1555" t="s">
        <v>8</v>
      </c>
      <c r="U9" s="1556">
        <f t="shared" si="1"/>
        <v>100</v>
      </c>
      <c r="V9" s="1555" t="s">
        <v>8</v>
      </c>
      <c r="W9" s="1556">
        <f t="shared" si="2"/>
        <v>100</v>
      </c>
      <c r="X9" s="1557"/>
      <c r="Y9" s="3334" t="s">
        <v>536</v>
      </c>
      <c r="Z9" s="1146" t="str">
        <f t="shared" ref="Z9:Z14" si="7">Q9</f>
        <v>用途</v>
      </c>
      <c r="AA9" s="1558">
        <f t="shared" si="3"/>
        <v>1</v>
      </c>
      <c r="AB9" s="1558">
        <f t="shared" si="4"/>
        <v>1</v>
      </c>
      <c r="AC9" s="1558">
        <f t="shared" si="5"/>
        <v>1</v>
      </c>
    </row>
    <row r="10" spans="1:29" s="1334" customFormat="1" ht="27">
      <c r="A10" s="2868"/>
      <c r="B10" s="2873"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7"/>
      <c r="Q10" s="1147" t="str">
        <f t="shared" si="6"/>
        <v>土地使用年限（年）</v>
      </c>
      <c r="R10" s="1555" t="s">
        <v>8</v>
      </c>
      <c r="S10" s="1556">
        <f t="shared" si="0"/>
        <v>100</v>
      </c>
      <c r="T10" s="1555" t="s">
        <v>8</v>
      </c>
      <c r="U10" s="1556">
        <f t="shared" si="1"/>
        <v>100</v>
      </c>
      <c r="V10" s="1555" t="s">
        <v>8</v>
      </c>
      <c r="W10" s="1556">
        <f t="shared" si="2"/>
        <v>100</v>
      </c>
      <c r="X10" s="1557"/>
      <c r="Y10" s="3334"/>
      <c r="Z10" s="1146" t="str">
        <f t="shared" si="7"/>
        <v>土地使用年限（年）</v>
      </c>
      <c r="AA10" s="1558">
        <f t="shared" si="3"/>
        <v>1</v>
      </c>
      <c r="AB10" s="1558">
        <f t="shared" si="4"/>
        <v>1</v>
      </c>
      <c r="AC10" s="1558">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7"/>
      <c r="Q11" s="1147">
        <f t="shared" si="6"/>
        <v>111</v>
      </c>
      <c r="R11" s="1555" t="s">
        <v>8</v>
      </c>
      <c r="S11" s="1556">
        <f t="shared" si="0"/>
        <v>100</v>
      </c>
      <c r="T11" s="1555" t="s">
        <v>8</v>
      </c>
      <c r="U11" s="1556">
        <f t="shared" si="1"/>
        <v>100</v>
      </c>
      <c r="V11" s="1555" t="s">
        <v>8</v>
      </c>
      <c r="W11" s="1556">
        <f t="shared" si="2"/>
        <v>100</v>
      </c>
      <c r="X11" s="1557"/>
      <c r="Y11" s="3334"/>
      <c r="Z11" s="1146">
        <f t="shared" si="7"/>
        <v>111</v>
      </c>
      <c r="AA11" s="1558">
        <f t="shared" si="3"/>
        <v>1</v>
      </c>
      <c r="AB11" s="1558">
        <f t="shared" si="4"/>
        <v>1</v>
      </c>
      <c r="AC11" s="1558">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7"/>
      <c r="Q12" s="1147">
        <f t="shared" si="6"/>
        <v>111</v>
      </c>
      <c r="R12" s="1555" t="s">
        <v>8</v>
      </c>
      <c r="S12" s="1556">
        <f t="shared" si="0"/>
        <v>100</v>
      </c>
      <c r="T12" s="1555" t="s">
        <v>8</v>
      </c>
      <c r="U12" s="1556">
        <f t="shared" si="1"/>
        <v>100</v>
      </c>
      <c r="V12" s="1555" t="s">
        <v>8</v>
      </c>
      <c r="W12" s="1556">
        <f t="shared" si="2"/>
        <v>100</v>
      </c>
      <c r="X12" s="1557"/>
      <c r="Y12" s="3334"/>
      <c r="Z12" s="1146">
        <f t="shared" si="7"/>
        <v>111</v>
      </c>
      <c r="AA12" s="1558">
        <f>D12/F12</f>
        <v>1</v>
      </c>
      <c r="AB12" s="1558">
        <f>D12/H12</f>
        <v>1</v>
      </c>
      <c r="AC12" s="1558">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7"/>
      <c r="Q13" s="1147">
        <f t="shared" si="6"/>
        <v>111</v>
      </c>
      <c r="R13" s="1555" t="s">
        <v>8</v>
      </c>
      <c r="S13" s="1556">
        <f t="shared" si="0"/>
        <v>100</v>
      </c>
      <c r="T13" s="1555" t="s">
        <v>8</v>
      </c>
      <c r="U13" s="1556">
        <f t="shared" si="1"/>
        <v>100</v>
      </c>
      <c r="V13" s="1555" t="s">
        <v>8</v>
      </c>
      <c r="W13" s="1556">
        <f t="shared" si="2"/>
        <v>100</v>
      </c>
      <c r="X13" s="1557"/>
      <c r="Y13" s="3334"/>
      <c r="Z13" s="1146">
        <f t="shared" si="7"/>
        <v>111</v>
      </c>
      <c r="AA13" s="1558">
        <f t="shared" si="3"/>
        <v>1</v>
      </c>
      <c r="AB13" s="1558">
        <f t="shared" si="4"/>
        <v>1</v>
      </c>
      <c r="AC13" s="1558">
        <f t="shared" si="5"/>
        <v>1</v>
      </c>
    </row>
    <row r="14" spans="1:29" ht="85.5">
      <c r="A14" s="2863"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9" t="s">
        <v>540</v>
      </c>
      <c r="Q14" s="1559" t="str">
        <f t="shared" si="6"/>
        <v>交通便捷度</v>
      </c>
      <c r="R14" s="1560" t="s">
        <v>8</v>
      </c>
      <c r="S14" s="1561">
        <f t="shared" si="0"/>
        <v>100</v>
      </c>
      <c r="T14" s="1560" t="s">
        <v>8</v>
      </c>
      <c r="U14" s="1561">
        <f t="shared" si="1"/>
        <v>100</v>
      </c>
      <c r="V14" s="1560" t="s">
        <v>8</v>
      </c>
      <c r="W14" s="1561">
        <f t="shared" si="2"/>
        <v>100</v>
      </c>
      <c r="X14" s="1554"/>
      <c r="Y14" s="337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0"/>
      <c r="Q15" s="1559"/>
      <c r="R15" s="1560"/>
      <c r="S15" s="1561"/>
      <c r="T15" s="1560"/>
      <c r="U15" s="1561"/>
      <c r="V15" s="1560"/>
      <c r="W15" s="1561"/>
      <c r="X15" s="1554"/>
      <c r="Y15" s="3380"/>
      <c r="Z15" s="1562"/>
      <c r="AA15" s="1563">
        <v>1</v>
      </c>
      <c r="AB15" s="1563">
        <v>1</v>
      </c>
      <c r="AC15" s="1563">
        <v>1</v>
      </c>
    </row>
    <row r="16" spans="1:29" ht="42.75">
      <c r="A16" s="532"/>
      <c r="B16" s="2565"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0"/>
      <c r="Q16" s="1559" t="str">
        <f>B16</f>
        <v>公共配套设施</v>
      </c>
      <c r="R16" s="1560" t="s">
        <v>8</v>
      </c>
      <c r="S16" s="1561">
        <f>F16</f>
        <v>100</v>
      </c>
      <c r="T16" s="1560" t="s">
        <v>8</v>
      </c>
      <c r="U16" s="1561">
        <f>H16</f>
        <v>100</v>
      </c>
      <c r="V16" s="1560" t="s">
        <v>8</v>
      </c>
      <c r="W16" s="1561">
        <f>J16</f>
        <v>100</v>
      </c>
      <c r="X16" s="1554"/>
      <c r="Y16" s="338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0"/>
      <c r="Q17" s="1559"/>
      <c r="R17" s="1560"/>
      <c r="S17" s="1561"/>
      <c r="T17" s="1560"/>
      <c r="U17" s="1561"/>
      <c r="V17" s="1560"/>
      <c r="W17" s="1561"/>
      <c r="X17" s="1554"/>
      <c r="Y17" s="3380"/>
      <c r="Z17" s="1562"/>
      <c r="AA17" s="1563">
        <v>1</v>
      </c>
      <c r="AB17" s="1563">
        <v>1</v>
      </c>
      <c r="AC17" s="1563">
        <v>1</v>
      </c>
    </row>
    <row r="18" spans="1:29" ht="28.5">
      <c r="A18" s="532"/>
      <c r="B18" s="2553"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0"/>
      <c r="Q18" s="2541" t="str">
        <f>B18</f>
        <v>基础设施水平</v>
      </c>
      <c r="R18" s="1560" t="s">
        <v>8</v>
      </c>
      <c r="S18" s="1561">
        <f>F18</f>
        <v>100</v>
      </c>
      <c r="T18" s="1560" t="s">
        <v>8</v>
      </c>
      <c r="U18" s="1561">
        <f>H18</f>
        <v>100</v>
      </c>
      <c r="V18" s="1560" t="s">
        <v>8</v>
      </c>
      <c r="W18" s="1561">
        <f>J18</f>
        <v>100</v>
      </c>
      <c r="X18" s="2543"/>
      <c r="Y18" s="3380"/>
      <c r="Z18" s="2542"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4"/>
      <c r="L19" s="2128"/>
      <c r="M19" s="2120"/>
      <c r="N19" s="2120"/>
      <c r="O19" s="2127"/>
      <c r="P19" s="3380"/>
      <c r="Q19" s="2541"/>
      <c r="R19" s="1560"/>
      <c r="S19" s="1561"/>
      <c r="T19" s="1560"/>
      <c r="U19" s="1561"/>
      <c r="V19" s="1560"/>
      <c r="W19" s="1561"/>
      <c r="X19" s="2543"/>
      <c r="Y19" s="3380"/>
      <c r="Z19" s="2542"/>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0"/>
      <c r="Q20" s="1559" t="str">
        <f>B20</f>
        <v>自然及人文环境</v>
      </c>
      <c r="R20" s="1560" t="s">
        <v>8</v>
      </c>
      <c r="S20" s="1561">
        <f>F20</f>
        <v>100</v>
      </c>
      <c r="T20" s="1560" t="s">
        <v>8</v>
      </c>
      <c r="U20" s="1561">
        <f>H20</f>
        <v>100</v>
      </c>
      <c r="V20" s="1560" t="s">
        <v>8</v>
      </c>
      <c r="W20" s="1561">
        <f>J20</f>
        <v>100</v>
      </c>
      <c r="X20" s="1554"/>
      <c r="Y20" s="338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0"/>
      <c r="Q21" s="1559"/>
      <c r="R21" s="1560"/>
      <c r="S21" s="1561"/>
      <c r="T21" s="1560"/>
      <c r="U21" s="1561"/>
      <c r="V21" s="1560"/>
      <c r="W21" s="1561"/>
      <c r="X21" s="1554"/>
      <c r="Y21" s="338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0"/>
      <c r="Q22" s="1559" t="str">
        <f>B22</f>
        <v>楼层</v>
      </c>
      <c r="R22" s="1560" t="s">
        <v>8</v>
      </c>
      <c r="S22" s="1561">
        <f>F22</f>
        <v>100</v>
      </c>
      <c r="T22" s="1560" t="s">
        <v>8</v>
      </c>
      <c r="U22" s="1561">
        <f>H22</f>
        <v>100</v>
      </c>
      <c r="V22" s="1560" t="s">
        <v>8</v>
      </c>
      <c r="W22" s="1561">
        <f>J22</f>
        <v>100</v>
      </c>
      <c r="X22" s="1554"/>
      <c r="Y22" s="338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0"/>
      <c r="Q23" s="1559">
        <f>B23</f>
        <v>111</v>
      </c>
      <c r="R23" s="1560" t="s">
        <v>8</v>
      </c>
      <c r="S23" s="1561">
        <f>F23</f>
        <v>100</v>
      </c>
      <c r="T23" s="1560" t="s">
        <v>8</v>
      </c>
      <c r="U23" s="1561">
        <f>H23</f>
        <v>100</v>
      </c>
      <c r="V23" s="1560" t="s">
        <v>8</v>
      </c>
      <c r="W23" s="1561">
        <f>J23</f>
        <v>100</v>
      </c>
      <c r="X23" s="1554"/>
      <c r="Y23" s="338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0"/>
      <c r="Q24" s="1559">
        <f t="shared" ref="Q24:Q34" si="11">B24</f>
        <v>111</v>
      </c>
      <c r="R24" s="1560" t="s">
        <v>8</v>
      </c>
      <c r="S24" s="1561">
        <f>F24</f>
        <v>100</v>
      </c>
      <c r="T24" s="1560" t="s">
        <v>8</v>
      </c>
      <c r="U24" s="1561">
        <f>H24</f>
        <v>100</v>
      </c>
      <c r="V24" s="1560" t="s">
        <v>8</v>
      </c>
      <c r="W24" s="1561">
        <f>J24</f>
        <v>100</v>
      </c>
      <c r="X24" s="1554"/>
      <c r="Y24" s="338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0"/>
      <c r="Q25" s="1147">
        <f t="shared" si="11"/>
        <v>111</v>
      </c>
      <c r="R25" s="1555" t="s">
        <v>8</v>
      </c>
      <c r="S25" s="1556">
        <f>F25</f>
        <v>100</v>
      </c>
      <c r="T25" s="1555" t="s">
        <v>8</v>
      </c>
      <c r="U25" s="1556">
        <f>H25</f>
        <v>100</v>
      </c>
      <c r="V25" s="1555" t="s">
        <v>8</v>
      </c>
      <c r="W25" s="1556">
        <f>J25</f>
        <v>100</v>
      </c>
      <c r="X25" s="1557"/>
      <c r="Y25" s="3380"/>
      <c r="Z25" s="1146">
        <f>Q25</f>
        <v>111</v>
      </c>
      <c r="AA25" s="1563">
        <f>D25/F25</f>
        <v>1</v>
      </c>
      <c r="AB25" s="1563">
        <f>D25/H25</f>
        <v>1</v>
      </c>
      <c r="AC25" s="1563">
        <f>D25/J25</f>
        <v>1</v>
      </c>
    </row>
    <row r="26" spans="1:29" ht="15">
      <c r="A26" s="2860"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2"/>
      <c r="Q27" s="1591" t="str">
        <f t="shared" si="11"/>
        <v>成新率</v>
      </c>
      <c r="R27" s="1564" t="s">
        <v>8</v>
      </c>
      <c r="S27" s="1565" t="e">
        <f t="shared" si="12"/>
        <v>#N/A</v>
      </c>
      <c r="T27" s="1564" t="s">
        <v>8</v>
      </c>
      <c r="U27" s="1565" t="e">
        <f t="shared" si="13"/>
        <v>#N/A</v>
      </c>
      <c r="V27" s="1564" t="s">
        <v>8</v>
      </c>
      <c r="W27" s="1565" t="e">
        <f t="shared" si="14"/>
        <v>#N/A</v>
      </c>
      <c r="X27" s="1566"/>
      <c r="Y27" s="338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2"/>
      <c r="Q28" s="1559" t="str">
        <f t="shared" si="11"/>
        <v>物业等级</v>
      </c>
      <c r="R28" s="1560" t="s">
        <v>8</v>
      </c>
      <c r="S28" s="1561">
        <f t="shared" si="12"/>
        <v>100</v>
      </c>
      <c r="T28" s="1560" t="s">
        <v>8</v>
      </c>
      <c r="U28" s="1561">
        <f t="shared" si="13"/>
        <v>100</v>
      </c>
      <c r="V28" s="1560" t="s">
        <v>8</v>
      </c>
      <c r="W28" s="1561">
        <f t="shared" si="14"/>
        <v>100</v>
      </c>
      <c r="X28" s="1554"/>
      <c r="Y28" s="338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2"/>
      <c r="Q29" s="1559" t="str">
        <f t="shared" si="11"/>
        <v>有无电梯</v>
      </c>
      <c r="R29" s="1560" t="s">
        <v>8</v>
      </c>
      <c r="S29" s="1561">
        <f t="shared" si="12"/>
        <v>100</v>
      </c>
      <c r="T29" s="1560" t="s">
        <v>8</v>
      </c>
      <c r="U29" s="1561">
        <f t="shared" si="13"/>
        <v>100</v>
      </c>
      <c r="V29" s="1560" t="s">
        <v>8</v>
      </c>
      <c r="W29" s="1561">
        <f t="shared" si="14"/>
        <v>100</v>
      </c>
      <c r="X29" s="1554"/>
      <c r="Y29" s="338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2"/>
      <c r="Q30" s="1559" t="str">
        <f t="shared" si="11"/>
        <v>建筑面积</v>
      </c>
      <c r="R30" s="1560" t="s">
        <v>8</v>
      </c>
      <c r="S30" s="1561" t="e">
        <f t="shared" si="12"/>
        <v>#N/A</v>
      </c>
      <c r="T30" s="1560" t="s">
        <v>8</v>
      </c>
      <c r="U30" s="1561" t="e">
        <f t="shared" si="13"/>
        <v>#N/A</v>
      </c>
      <c r="V30" s="1560" t="s">
        <v>8</v>
      </c>
      <c r="W30" s="1561" t="e">
        <f t="shared" si="14"/>
        <v>#N/A</v>
      </c>
      <c r="X30" s="1554"/>
      <c r="Y30" s="338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2"/>
      <c r="Q31" s="1147" t="str">
        <f t="shared" si="11"/>
        <v>是否封闭</v>
      </c>
      <c r="R31" s="1555" t="s">
        <v>8</v>
      </c>
      <c r="S31" s="1556">
        <f t="shared" si="12"/>
        <v>100</v>
      </c>
      <c r="T31" s="1555" t="s">
        <v>8</v>
      </c>
      <c r="U31" s="1556">
        <f t="shared" si="13"/>
        <v>100</v>
      </c>
      <c r="V31" s="1555" t="s">
        <v>8</v>
      </c>
      <c r="W31" s="1556">
        <f t="shared" si="14"/>
        <v>100</v>
      </c>
      <c r="X31" s="1557"/>
      <c r="Y31" s="338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2" t="s">
        <v>550</v>
      </c>
      <c r="Q32" s="1559">
        <f t="shared" si="11"/>
        <v>111</v>
      </c>
      <c r="R32" s="1560" t="s">
        <v>8</v>
      </c>
      <c r="S32" s="1561">
        <f t="shared" si="12"/>
        <v>100</v>
      </c>
      <c r="T32" s="1560" t="s">
        <v>8</v>
      </c>
      <c r="U32" s="1561">
        <f t="shared" si="13"/>
        <v>100</v>
      </c>
      <c r="V32" s="1560" t="s">
        <v>8</v>
      </c>
      <c r="W32" s="1561">
        <f t="shared" si="14"/>
        <v>100</v>
      </c>
      <c r="X32" s="1554"/>
      <c r="Y32" s="338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2"/>
      <c r="Q33" s="1559">
        <f t="shared" si="11"/>
        <v>111</v>
      </c>
      <c r="R33" s="1560" t="s">
        <v>8</v>
      </c>
      <c r="S33" s="1561">
        <f t="shared" si="12"/>
        <v>100</v>
      </c>
      <c r="T33" s="1560" t="s">
        <v>8</v>
      </c>
      <c r="U33" s="1561">
        <f t="shared" si="13"/>
        <v>100</v>
      </c>
      <c r="V33" s="1560" t="s">
        <v>8</v>
      </c>
      <c r="W33" s="1561">
        <f t="shared" si="14"/>
        <v>100</v>
      </c>
      <c r="X33" s="1554"/>
      <c r="Y33" s="338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2"/>
      <c r="Q34" s="1559">
        <f t="shared" si="11"/>
        <v>111</v>
      </c>
      <c r="R34" s="1560" t="s">
        <v>8</v>
      </c>
      <c r="S34" s="1561">
        <f t="shared" si="12"/>
        <v>100</v>
      </c>
      <c r="T34" s="1560" t="s">
        <v>8</v>
      </c>
      <c r="U34" s="1561">
        <f t="shared" si="13"/>
        <v>100</v>
      </c>
      <c r="V34" s="1560" t="s">
        <v>8</v>
      </c>
      <c r="W34" s="1561">
        <f t="shared" si="14"/>
        <v>100</v>
      </c>
      <c r="X34" s="1554"/>
      <c r="Y34" s="3382"/>
      <c r="Z34" s="1562">
        <f t="shared" si="15"/>
        <v>111</v>
      </c>
      <c r="AA34" s="1563">
        <f t="shared" si="3"/>
        <v>1</v>
      </c>
      <c r="AB34" s="1563">
        <f t="shared" si="4"/>
        <v>1</v>
      </c>
      <c r="AC34" s="1563">
        <f t="shared" si="5"/>
        <v>1</v>
      </c>
    </row>
    <row r="35" spans="1:29" ht="15">
      <c r="A35" s="607" t="s">
        <v>736</v>
      </c>
      <c r="B35" s="887"/>
      <c r="C35" s="2589" t="s">
        <v>1</v>
      </c>
      <c r="D35" s="2590"/>
      <c r="E35" s="2591"/>
      <c r="F35" s="2592"/>
      <c r="G35" s="2593"/>
      <c r="H35" s="2594"/>
      <c r="I35" s="2591"/>
      <c r="J35" s="2594"/>
      <c r="K35" s="1597"/>
      <c r="L35" s="2130"/>
      <c r="M35" s="2131"/>
      <c r="N35" s="2120"/>
      <c r="O35" s="2131"/>
      <c r="P35" s="3377" t="str">
        <f>A35</f>
        <v>成交单价（元/平方米）</v>
      </c>
      <c r="Q35" s="3377"/>
      <c r="R35" s="3481">
        <f>E35</f>
        <v>0</v>
      </c>
      <c r="S35" s="3481"/>
      <c r="T35" s="3481">
        <f>G35</f>
        <v>0</v>
      </c>
      <c r="U35" s="3481"/>
      <c r="V35" s="3481">
        <f>I35</f>
        <v>0</v>
      </c>
      <c r="W35" s="3481"/>
      <c r="X35" s="1546"/>
      <c r="Y35" s="1568"/>
      <c r="Z35" s="1546"/>
      <c r="AA35" s="1546"/>
      <c r="AB35" s="1546"/>
      <c r="AC35" s="1546"/>
    </row>
    <row r="36" spans="1:29" ht="15.75" thickBot="1">
      <c r="A36" s="615" t="s">
        <v>2760</v>
      </c>
      <c r="B36" s="888"/>
      <c r="C36" s="2595" t="e">
        <f>R37</f>
        <v>#DIV/0!</v>
      </c>
      <c r="D36" s="2596"/>
      <c r="E36" s="2597" t="e">
        <f>R36</f>
        <v>#DIV/0!</v>
      </c>
      <c r="F36" s="2597"/>
      <c r="G36" s="2595" t="e">
        <f>T36</f>
        <v>#DIV/0!</v>
      </c>
      <c r="H36" s="2596"/>
      <c r="I36" s="2597" t="e">
        <f>V36</f>
        <v>#DIV/0!</v>
      </c>
      <c r="J36" s="2596"/>
      <c r="K36" s="1598"/>
      <c r="L36" s="2130"/>
      <c r="M36" s="2131"/>
      <c r="N36" s="2120"/>
      <c r="O36" s="2131"/>
      <c r="P36" s="3377" t="str">
        <f>A36</f>
        <v>比较价格（元/平方米）</v>
      </c>
      <c r="Q36" s="3377"/>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6"/>
      <c r="Y36" s="1546"/>
      <c r="Z36" s="1546"/>
      <c r="AA36" s="1546"/>
      <c r="AB36" s="1546"/>
      <c r="AC36" s="1546"/>
    </row>
    <row r="37" spans="1:29" ht="15.75" thickBot="1">
      <c r="A37" s="621" t="s">
        <v>2934</v>
      </c>
      <c r="B37" s="622"/>
      <c r="C37" s="2598" t="e">
        <f>R37</f>
        <v>#DIV/0!</v>
      </c>
      <c r="D37" s="2598"/>
      <c r="E37" s="2598"/>
      <c r="F37" s="2598"/>
      <c r="G37" s="2598"/>
      <c r="H37" s="2598"/>
      <c r="I37" s="2598"/>
      <c r="J37" s="2598"/>
      <c r="K37" s="1599"/>
      <c r="L37" s="2130"/>
      <c r="M37" s="2131"/>
      <c r="N37" s="2131"/>
      <c r="O37" s="2131"/>
      <c r="P37" s="3398" t="str">
        <f>A37</f>
        <v>估价对象XX用房的比较价格（楼面单价，元/平方米）</v>
      </c>
      <c r="Q37" s="3399"/>
      <c r="R37" s="3480" t="e">
        <f>IF(F1="售价",ROUND(AVERAGE(R36:V36),0),ROUND(AVERAGE(R36:V36),1))</f>
        <v>#DIV/0!</v>
      </c>
      <c r="S37" s="3480"/>
      <c r="T37" s="3480"/>
      <c r="U37" s="3480"/>
      <c r="V37" s="3480"/>
      <c r="W37" s="348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5" t="str">
        <f>YEAR(C7)&amp;"-"&amp;MONTH(C7)</f>
        <v>2019-5</v>
      </c>
      <c r="D46" s="2757">
        <f>EDATE(C46,-1)</f>
        <v>43556</v>
      </c>
      <c r="E46" s="2757">
        <f t="shared" ref="E46:O46" si="16">EDATE(D46,-1)</f>
        <v>43525</v>
      </c>
      <c r="F46" s="2757">
        <f t="shared" si="16"/>
        <v>43497</v>
      </c>
      <c r="G46" s="2757">
        <f t="shared" si="16"/>
        <v>43466</v>
      </c>
      <c r="H46" s="2757">
        <f t="shared" si="16"/>
        <v>43435</v>
      </c>
      <c r="I46" s="2757">
        <f t="shared" si="16"/>
        <v>43405</v>
      </c>
      <c r="J46" s="2757">
        <f t="shared" si="16"/>
        <v>43374</v>
      </c>
      <c r="K46" s="2757">
        <f t="shared" si="16"/>
        <v>43344</v>
      </c>
      <c r="L46" s="2757">
        <f t="shared" si="16"/>
        <v>43313</v>
      </c>
      <c r="M46" s="2757">
        <f t="shared" si="16"/>
        <v>43282</v>
      </c>
      <c r="N46" s="2757">
        <f t="shared" si="16"/>
        <v>43252</v>
      </c>
      <c r="O46" s="2757">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59" t="s">
        <v>2558</v>
      </c>
      <c r="C65" s="2560" t="s">
        <v>2559</v>
      </c>
      <c r="D65" s="2560" t="s">
        <v>2560</v>
      </c>
      <c r="E65" s="2560" t="s">
        <v>2561</v>
      </c>
      <c r="F65" s="2560" t="s">
        <v>2562</v>
      </c>
      <c r="G65" s="2560" t="s">
        <v>2563</v>
      </c>
      <c r="H65" s="674"/>
      <c r="I65" s="674"/>
      <c r="J65" s="674"/>
      <c r="K65" s="674"/>
      <c r="L65" s="674"/>
      <c r="M65" s="2563"/>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国民信托有限公司：</v>
      </c>
    </row>
    <row r="4" spans="1:4" ht="37.5">
      <c r="A4" s="1777" t="str">
        <f>"受贵公司委托，我公司对"&amp;项目基本情况!K2&amp;项目基本情况!B9&amp;"进行了预评估。"</f>
        <v>受贵公司委托，我公司对四川省成都市青白江区景鸿路以东、绣川河以南出让国有建设用地使用权抵押价格进行了预评估。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集装箱物流投资开发有限公司使用的、位于四川省成都市青白江区景鸿路以东、绣川河以南出让国有建设用地使用权。根据《国有土地使用证》[]，估价对象（分摊）出让国有建设用地使用权面积为43369.49平方米。根据《建设工程规划许可证》[]、《出让合同》[]，估价对象规划建筑面积为86738.98平方米。</v>
      </c>
    </row>
    <row r="7" spans="1:4" ht="93.75">
      <c r="A7" s="2826" t="s">
        <v>2748</v>
      </c>
    </row>
    <row r="8" spans="1:4" ht="18.75">
      <c r="A8" s="1780" t="s">
        <v>1906</v>
      </c>
    </row>
    <row r="9" spans="1:4" ht="93.75">
      <c r="A9" s="1782" t="str">
        <f>IF(项目基本情况!B8="抵押",IF(项目基本情况!B5=项目基本情况!B6,定义!C51,定义!B51),定义!D51)</f>
        <v>成都集装箱物流投资开发有限公司拟使用四川省成都市青白江区景鸿路以东、绣川河以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2019年5月14日（评估专业人员勘察现场之日）</v>
      </c>
    </row>
    <row r="12" spans="1:4" ht="18.75">
      <c r="A12" s="1783" t="s">
        <v>2025</v>
      </c>
    </row>
    <row r="13" spans="1:4" ht="18.75">
      <c r="A13" s="1777" t="s">
        <v>2071</v>
      </c>
    </row>
    <row r="14" spans="1:4" ht="37.5">
      <c r="A14" s="1777" t="str">
        <f>"根据"&amp;项目基本情况!F12&amp;"，本次评估估价对象证载（地类）用途为"&amp;项目基本情况!B12&amp;"。"</f>
        <v>根据川（2018）青白江区不动产权第0036051号，本次评估估价对象证载（地类）用途为批发零售用地。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根据《国有土地使用证》[]，估价对象（分摊）出让国有建设用地使用权面积为43369.49平方米。根据《建设工程规划许可证》[]、《出让合同》[]，估价对象规划建筑面积为86738.98平方米。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28" t="s">
        <v>2749</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5月14日，在规划利用条件下、设定土地开发程度为红线外“七通”、宗地内场地，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0" t="s">
        <v>2304</v>
      </c>
      <c r="D1" s="3491"/>
      <c r="E1" s="3491"/>
      <c r="F1" s="3491"/>
      <c r="G1" s="3491"/>
      <c r="H1" s="3491"/>
      <c r="I1" s="3491"/>
      <c r="J1" s="3491"/>
      <c r="K1" s="3491"/>
      <c r="L1" s="3491"/>
      <c r="M1" s="3491"/>
      <c r="N1" s="3491"/>
      <c r="O1" s="3491"/>
      <c r="P1" s="3491"/>
      <c r="Q1" s="3491"/>
      <c r="R1" s="3491"/>
      <c r="S1" s="3492"/>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39"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1"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1"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0"/>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39"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39"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39"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7" t="s">
        <v>20</v>
      </c>
      <c r="D22" s="3488"/>
      <c r="E22" s="3488"/>
      <c r="F22" s="3488"/>
      <c r="G22" s="3488"/>
      <c r="H22" s="3488"/>
      <c r="I22" s="3488"/>
      <c r="J22" s="3488"/>
      <c r="K22" s="3488"/>
      <c r="L22" s="3488"/>
      <c r="M22" s="3488"/>
      <c r="N22" s="3488"/>
      <c r="O22" s="3488"/>
      <c r="P22" s="3488"/>
      <c r="Q22" s="3489"/>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2788</v>
      </c>
      <c r="C1" s="2957">
        <f>项目基本情况!D3</f>
        <v>43599</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2819</v>
      </c>
      <c r="C2" s="2958">
        <f>'数据-取费表'!B22</f>
        <v>1.5</v>
      </c>
      <c r="D2" s="2953" t="s">
        <v>2789</v>
      </c>
      <c r="E2" s="2956">
        <f ca="1">INDIRECT("I"&amp;$I$1)/100</f>
        <v>4.7500000000000001E-2</v>
      </c>
      <c r="G2" s="2893"/>
      <c r="H2" s="2893"/>
      <c r="I2" s="2893" t="s">
        <v>2790</v>
      </c>
      <c r="K2" s="2893"/>
      <c r="L2" s="2893"/>
      <c r="M2" s="2893"/>
      <c r="N2" s="2893" t="s">
        <v>2791</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2821</v>
      </c>
      <c r="C3" s="2955">
        <f>'数据-取费表'!B19</f>
        <v>0</v>
      </c>
      <c r="D3" s="2953" t="s">
        <v>2789</v>
      </c>
      <c r="E3" s="2956">
        <f ca="1">INDIRECT("J"&amp;$J$1)/100</f>
        <v>0</v>
      </c>
      <c r="G3" s="2895" t="s">
        <v>2792</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2820</v>
      </c>
      <c r="C4" s="2956">
        <f ca="1">N4/100</f>
        <v>1.4999999999999999E-2</v>
      </c>
      <c r="G4" s="2901" t="s">
        <v>2793</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2794</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2795</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2796</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2797</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2798</v>
      </c>
      <c r="C10" s="2920"/>
      <c r="D10" s="2920"/>
      <c r="E10" s="2920"/>
      <c r="F10" s="2920"/>
      <c r="G10" s="2920"/>
      <c r="H10" s="2920"/>
      <c r="I10" s="2894"/>
      <c r="J10" s="2894"/>
      <c r="K10" s="2920"/>
      <c r="L10" s="2921" t="s">
        <v>2799</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2800</v>
      </c>
      <c r="C11" s="2925" t="s">
        <v>2801</v>
      </c>
      <c r="D11" s="2926" t="s">
        <v>2802</v>
      </c>
      <c r="E11" s="2927"/>
      <c r="F11" s="2926" t="s">
        <v>2803</v>
      </c>
      <c r="G11" s="2928"/>
      <c r="H11" s="2927"/>
      <c r="I11" s="2926" t="s">
        <v>2804</v>
      </c>
      <c r="J11" s="2927"/>
      <c r="K11" s="2923"/>
      <c r="L11" s="2924" t="s">
        <v>2800</v>
      </c>
      <c r="M11" s="2925" t="s">
        <v>2801</v>
      </c>
      <c r="N11" s="2924" t="s">
        <v>2805</v>
      </c>
      <c r="O11" s="2926" t="s">
        <v>2806</v>
      </c>
      <c r="P11" s="2928"/>
      <c r="Q11" s="2928"/>
      <c r="R11" s="2928"/>
      <c r="S11" s="2928"/>
      <c r="T11" s="2927"/>
      <c r="U11" s="2926" t="s">
        <v>2807</v>
      </c>
      <c r="V11" s="2928"/>
      <c r="W11" s="2927"/>
      <c r="X11" s="2924" t="s">
        <v>2808</v>
      </c>
      <c r="Y11" s="2924" t="s">
        <v>2809</v>
      </c>
      <c r="Z11" s="2924" t="s">
        <v>2810</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2811</v>
      </c>
      <c r="E12" s="2933" t="s">
        <v>2812</v>
      </c>
      <c r="F12" s="2933" t="s">
        <v>2813</v>
      </c>
      <c r="G12" s="2933" t="s">
        <v>2814</v>
      </c>
      <c r="H12" s="2933" t="s">
        <v>2796</v>
      </c>
      <c r="I12" s="2934" t="s">
        <v>2815</v>
      </c>
      <c r="J12" s="2934" t="s">
        <v>2815</v>
      </c>
      <c r="K12" s="2930"/>
      <c r="L12" s="2931"/>
      <c r="M12" s="2932"/>
      <c r="N12" s="2931"/>
      <c r="O12" s="2934" t="s">
        <v>2816</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2817</v>
      </c>
      <c r="C13" s="2938">
        <v>42301</v>
      </c>
      <c r="D13" s="2939">
        <v>4.3499999999999996</v>
      </c>
      <c r="E13" s="2939">
        <v>4.3499999999999996</v>
      </c>
      <c r="F13" s="2939">
        <v>4.75</v>
      </c>
      <c r="G13" s="2939">
        <v>4.75</v>
      </c>
      <c r="H13" s="2939">
        <v>4.9000000000000004</v>
      </c>
      <c r="I13" s="2939">
        <v>2.75</v>
      </c>
      <c r="J13" s="2939">
        <v>3.25</v>
      </c>
      <c r="K13" s="2936"/>
      <c r="L13" s="2937" t="s">
        <v>2817</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2818</v>
      </c>
      <c r="Y42" s="2943" t="s">
        <v>2818</v>
      </c>
      <c r="Z42" s="2943" t="s">
        <v>2818</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2818</v>
      </c>
      <c r="Y43" s="2943" t="s">
        <v>2818</v>
      </c>
      <c r="Z43" s="2943" t="s">
        <v>2818</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2818</v>
      </c>
      <c r="Y44" s="2943" t="s">
        <v>2818</v>
      </c>
      <c r="Z44" s="2943" t="s">
        <v>2818</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2818</v>
      </c>
      <c r="Y45" s="2943" t="s">
        <v>2818</v>
      </c>
      <c r="Z45" s="2943" t="s">
        <v>2818</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2818</v>
      </c>
      <c r="Y46" s="2943" t="s">
        <v>2818</v>
      </c>
      <c r="Z46" s="2943" t="s">
        <v>2818</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2818</v>
      </c>
      <c r="Y47" s="2943" t="s">
        <v>2818</v>
      </c>
      <c r="Z47" s="2943" t="s">
        <v>2818</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2818</v>
      </c>
      <c r="Y48" s="2943" t="s">
        <v>2818</v>
      </c>
      <c r="Z48" s="2943" t="s">
        <v>2818</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2818</v>
      </c>
      <c r="Y49" s="2943" t="s">
        <v>2818</v>
      </c>
      <c r="Z49" s="2943" t="s">
        <v>2818</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2818</v>
      </c>
      <c r="Y50" s="2943" t="s">
        <v>2818</v>
      </c>
      <c r="Z50" s="2943" t="s">
        <v>2818</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2818</v>
      </c>
      <c r="V51" s="2943" t="s">
        <v>2818</v>
      </c>
      <c r="W51" s="2943" t="s">
        <v>2818</v>
      </c>
      <c r="X51" s="2943" t="s">
        <v>2818</v>
      </c>
      <c r="Y51" s="2943" t="s">
        <v>2818</v>
      </c>
      <c r="Z51" s="2943" t="s">
        <v>2818</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2818</v>
      </c>
      <c r="J55" s="2943" t="s">
        <v>2818</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topLeftCell="H1" workbookViewId="0">
      <selection activeCell="O71" sqref="O71"/>
    </sheetView>
  </sheetViews>
  <sheetFormatPr defaultRowHeight="13.5"/>
  <cols>
    <col min="5" max="5" width="17" customWidth="1"/>
    <col min="17" max="17" width="11.25" customWidth="1"/>
  </cols>
  <sheetData>
    <row r="1" spans="1:20" ht="14.25">
      <c r="A1" s="3187" t="s">
        <v>3039</v>
      </c>
      <c r="B1" s="3187" t="s">
        <v>3040</v>
      </c>
      <c r="C1" s="3187" t="s">
        <v>3041</v>
      </c>
      <c r="D1" s="3187" t="s">
        <v>3042</v>
      </c>
      <c r="E1" s="3187" t="s">
        <v>3043</v>
      </c>
      <c r="F1" s="3187" t="s">
        <v>3044</v>
      </c>
      <c r="G1" s="3187" t="s">
        <v>3045</v>
      </c>
      <c r="H1" s="3187" t="s">
        <v>3046</v>
      </c>
      <c r="I1" s="3187" t="s">
        <v>3047</v>
      </c>
      <c r="J1" s="3187" t="s">
        <v>3048</v>
      </c>
      <c r="K1" s="3187" t="s">
        <v>2032</v>
      </c>
      <c r="L1" s="3187" t="s">
        <v>3049</v>
      </c>
      <c r="M1" s="3187" t="s">
        <v>3050</v>
      </c>
      <c r="N1" s="3187" t="s">
        <v>3051</v>
      </c>
      <c r="O1" s="3187" t="s">
        <v>3052</v>
      </c>
      <c r="P1" s="3187" t="s">
        <v>3053</v>
      </c>
      <c r="Q1" s="3187" t="s">
        <v>3054</v>
      </c>
      <c r="R1" s="3187" t="s">
        <v>3055</v>
      </c>
      <c r="S1" s="3187" t="s">
        <v>3056</v>
      </c>
      <c r="T1" s="3187" t="s">
        <v>3057</v>
      </c>
    </row>
    <row r="2" spans="1:20" ht="14.25">
      <c r="A2" s="3187" t="s">
        <v>3058</v>
      </c>
      <c r="B2" s="3187" t="s">
        <v>3059</v>
      </c>
      <c r="C2" s="3187" t="s">
        <v>3060</v>
      </c>
      <c r="D2" s="3187" t="s">
        <v>2818</v>
      </c>
      <c r="E2" s="3187" t="s">
        <v>3058</v>
      </c>
      <c r="F2" s="3187" t="s">
        <v>3061</v>
      </c>
      <c r="G2" s="3187" t="s">
        <v>3062</v>
      </c>
      <c r="H2" s="3187" t="s">
        <v>3063</v>
      </c>
      <c r="I2" s="3187">
        <v>3517.39</v>
      </c>
      <c r="J2" s="3187">
        <v>3517.39</v>
      </c>
      <c r="K2" s="3187" t="s">
        <v>3064</v>
      </c>
      <c r="L2" s="3187" t="s">
        <v>3065</v>
      </c>
      <c r="M2" s="3187" t="s">
        <v>3066</v>
      </c>
      <c r="N2" s="3187" t="s">
        <v>3067</v>
      </c>
      <c r="O2" s="3187">
        <v>2374.23</v>
      </c>
      <c r="P2" s="3187">
        <v>450</v>
      </c>
      <c r="Q2" s="3187">
        <v>6750</v>
      </c>
      <c r="R2" s="3187">
        <v>0</v>
      </c>
      <c r="S2" s="3187" t="s">
        <v>3068</v>
      </c>
      <c r="T2" s="3187" t="s">
        <v>3069</v>
      </c>
    </row>
    <row r="3" spans="1:20" ht="14.25">
      <c r="A3" s="3187" t="s">
        <v>3070</v>
      </c>
      <c r="B3" s="3187" t="s">
        <v>3059</v>
      </c>
      <c r="C3" s="3187" t="s">
        <v>3060</v>
      </c>
      <c r="D3" s="3187" t="s">
        <v>2818</v>
      </c>
      <c r="E3" s="3187" t="s">
        <v>3070</v>
      </c>
      <c r="F3" s="3187" t="s">
        <v>3061</v>
      </c>
      <c r="G3" s="3187" t="s">
        <v>3071</v>
      </c>
      <c r="H3" s="3187" t="s">
        <v>3063</v>
      </c>
      <c r="I3" s="3187">
        <v>3071.94</v>
      </c>
      <c r="J3" s="3187">
        <v>3071.94</v>
      </c>
      <c r="K3" s="3187" t="s">
        <v>3064</v>
      </c>
      <c r="L3" s="3187" t="s">
        <v>3065</v>
      </c>
      <c r="M3" s="3187" t="s">
        <v>3066</v>
      </c>
      <c r="N3" s="3187" t="s">
        <v>3067</v>
      </c>
      <c r="O3" s="3187">
        <v>2004.44</v>
      </c>
      <c r="P3" s="3187">
        <v>435</v>
      </c>
      <c r="Q3" s="3187">
        <v>6525</v>
      </c>
      <c r="R3" s="3187">
        <v>45</v>
      </c>
      <c r="S3" s="3187" t="s">
        <v>3068</v>
      </c>
      <c r="T3" s="3187" t="s">
        <v>3072</v>
      </c>
    </row>
    <row r="4" spans="1:20" ht="14.25">
      <c r="A4" s="3187" t="s">
        <v>3073</v>
      </c>
      <c r="B4" s="3187" t="s">
        <v>3059</v>
      </c>
      <c r="C4" s="3187" t="s">
        <v>3060</v>
      </c>
      <c r="D4" s="3187" t="s">
        <v>2818</v>
      </c>
      <c r="E4" s="3187" t="s">
        <v>3073</v>
      </c>
      <c r="F4" s="3187" t="s">
        <v>3061</v>
      </c>
      <c r="G4" s="3187" t="s">
        <v>3074</v>
      </c>
      <c r="H4" s="3187" t="s">
        <v>3075</v>
      </c>
      <c r="I4" s="3187">
        <v>12448.04</v>
      </c>
      <c r="J4" s="3187">
        <v>29875.3</v>
      </c>
      <c r="K4" s="3187" t="s">
        <v>3076</v>
      </c>
      <c r="L4" s="3187" t="s">
        <v>3077</v>
      </c>
      <c r="M4" s="3187" t="s">
        <v>3078</v>
      </c>
      <c r="N4" s="3187" t="s">
        <v>3079</v>
      </c>
      <c r="O4" s="3187">
        <v>2987.53</v>
      </c>
      <c r="P4" s="3187">
        <v>160</v>
      </c>
      <c r="Q4" s="3187">
        <v>1000</v>
      </c>
      <c r="R4" s="3187">
        <v>0</v>
      </c>
      <c r="S4" s="3187" t="s">
        <v>3080</v>
      </c>
      <c r="T4" s="3187" t="s">
        <v>3081</v>
      </c>
    </row>
    <row r="5" spans="1:20" ht="14.25">
      <c r="A5" s="3187" t="s">
        <v>3082</v>
      </c>
      <c r="B5" s="3187" t="s">
        <v>3059</v>
      </c>
      <c r="C5" s="3187" t="s">
        <v>3060</v>
      </c>
      <c r="D5" s="3187" t="s">
        <v>2818</v>
      </c>
      <c r="E5" s="3187" t="s">
        <v>3082</v>
      </c>
      <c r="F5" s="3187" t="s">
        <v>3061</v>
      </c>
      <c r="G5" s="3187" t="s">
        <v>3083</v>
      </c>
      <c r="H5" s="3187" t="s">
        <v>3084</v>
      </c>
      <c r="I5" s="3187">
        <v>11874.68</v>
      </c>
      <c r="J5" s="3187">
        <v>17812.02</v>
      </c>
      <c r="K5" s="3187" t="s">
        <v>3085</v>
      </c>
      <c r="L5" s="3187" t="s">
        <v>3086</v>
      </c>
      <c r="M5" s="3187" t="s">
        <v>3087</v>
      </c>
      <c r="N5" s="3187" t="s">
        <v>3088</v>
      </c>
      <c r="O5" s="3187">
        <v>4274.88</v>
      </c>
      <c r="P5" s="3187">
        <v>240</v>
      </c>
      <c r="Q5" s="3187">
        <v>2400</v>
      </c>
      <c r="R5" s="3187">
        <v>0</v>
      </c>
      <c r="S5" s="3187" t="s">
        <v>3089</v>
      </c>
      <c r="T5" s="3187" t="s">
        <v>3081</v>
      </c>
    </row>
    <row r="6" spans="1:20" ht="14.25">
      <c r="A6" s="3187" t="s">
        <v>3090</v>
      </c>
      <c r="B6" s="3187" t="s">
        <v>3059</v>
      </c>
      <c r="C6" s="3187" t="s">
        <v>3060</v>
      </c>
      <c r="D6" s="3187" t="s">
        <v>2818</v>
      </c>
      <c r="E6" s="3187" t="s">
        <v>3090</v>
      </c>
      <c r="F6" s="3187" t="s">
        <v>3061</v>
      </c>
      <c r="G6" s="3187" t="s">
        <v>3091</v>
      </c>
      <c r="H6" s="3187" t="s">
        <v>3092</v>
      </c>
      <c r="I6" s="3187">
        <v>10020.17</v>
      </c>
      <c r="J6" s="3187">
        <v>30060.51</v>
      </c>
      <c r="K6" s="3187" t="s">
        <v>3093</v>
      </c>
      <c r="L6" s="3187" t="s">
        <v>3094</v>
      </c>
      <c r="M6" s="3187" t="s">
        <v>3095</v>
      </c>
      <c r="N6" s="3187" t="s">
        <v>3096</v>
      </c>
      <c r="O6" s="3187">
        <v>851.71</v>
      </c>
      <c r="P6" s="3187">
        <v>56.67</v>
      </c>
      <c r="Q6" s="3187">
        <v>283.32</v>
      </c>
      <c r="R6" s="3187">
        <v>0</v>
      </c>
      <c r="S6" s="3187" t="s">
        <v>3089</v>
      </c>
      <c r="T6" s="3187" t="s">
        <v>3072</v>
      </c>
    </row>
    <row r="7" spans="1:20" ht="14.25">
      <c r="A7" s="3187" t="s">
        <v>3097</v>
      </c>
      <c r="B7" s="3187" t="s">
        <v>3059</v>
      </c>
      <c r="C7" s="3187" t="s">
        <v>3060</v>
      </c>
      <c r="D7" s="3187" t="s">
        <v>2818</v>
      </c>
      <c r="E7" s="3187" t="s">
        <v>3097</v>
      </c>
      <c r="F7" s="3187" t="s">
        <v>3061</v>
      </c>
      <c r="G7" s="3187" t="s">
        <v>3098</v>
      </c>
      <c r="H7" s="3187" t="s">
        <v>3075</v>
      </c>
      <c r="I7" s="3187">
        <v>6283.62</v>
      </c>
      <c r="J7" s="3187">
        <v>15080.69</v>
      </c>
      <c r="K7" s="3187" t="s">
        <v>3076</v>
      </c>
      <c r="L7" s="3187" t="s">
        <v>3094</v>
      </c>
      <c r="M7" s="3187" t="s">
        <v>3095</v>
      </c>
      <c r="N7" s="3187" t="s">
        <v>3079</v>
      </c>
      <c r="O7" s="3187">
        <v>628.36</v>
      </c>
      <c r="P7" s="3187">
        <v>66.67</v>
      </c>
      <c r="Q7" s="3187">
        <v>416.67</v>
      </c>
      <c r="R7" s="3187">
        <v>0</v>
      </c>
      <c r="S7" s="3187" t="s">
        <v>3099</v>
      </c>
      <c r="T7" s="3187" t="s">
        <v>3081</v>
      </c>
    </row>
    <row r="8" spans="1:20" ht="14.25">
      <c r="A8" s="3187" t="s">
        <v>3100</v>
      </c>
      <c r="B8" s="3187" t="s">
        <v>3059</v>
      </c>
      <c r="C8" s="3187" t="s">
        <v>3060</v>
      </c>
      <c r="D8" s="3187" t="s">
        <v>2818</v>
      </c>
      <c r="E8" s="3187" t="s">
        <v>3100</v>
      </c>
      <c r="F8" s="3187" t="s">
        <v>3061</v>
      </c>
      <c r="G8" s="3187" t="s">
        <v>3101</v>
      </c>
      <c r="H8" s="3187" t="s">
        <v>3084</v>
      </c>
      <c r="I8" s="3187">
        <v>32652.53</v>
      </c>
      <c r="J8" s="3187">
        <v>97957.59</v>
      </c>
      <c r="K8" s="3187" t="s">
        <v>3093</v>
      </c>
      <c r="L8" s="3187" t="s">
        <v>3102</v>
      </c>
      <c r="M8" s="3187" t="s">
        <v>3103</v>
      </c>
      <c r="N8" s="3187" t="s">
        <v>3104</v>
      </c>
      <c r="O8" s="3187">
        <v>8326.39</v>
      </c>
      <c r="P8" s="3187">
        <v>170</v>
      </c>
      <c r="Q8" s="3187">
        <v>850</v>
      </c>
      <c r="R8" s="3187">
        <v>0</v>
      </c>
      <c r="S8" s="3187" t="s">
        <v>3089</v>
      </c>
      <c r="T8" s="3187" t="s">
        <v>3072</v>
      </c>
    </row>
    <row r="9" spans="1:20" ht="14.25">
      <c r="A9" s="3187" t="s">
        <v>3105</v>
      </c>
      <c r="B9" s="3187" t="s">
        <v>3059</v>
      </c>
      <c r="C9" s="3187" t="s">
        <v>3060</v>
      </c>
      <c r="D9" s="3187" t="s">
        <v>2818</v>
      </c>
      <c r="E9" s="3187" t="s">
        <v>3105</v>
      </c>
      <c r="F9" s="3187" t="s">
        <v>3061</v>
      </c>
      <c r="G9" s="3187" t="s">
        <v>3106</v>
      </c>
      <c r="H9" s="3187" t="s">
        <v>3084</v>
      </c>
      <c r="I9" s="3187">
        <v>11558.74</v>
      </c>
      <c r="J9" s="3187">
        <v>34676.22</v>
      </c>
      <c r="K9" s="3187" t="s">
        <v>3093</v>
      </c>
      <c r="L9" s="3187" t="s">
        <v>3102</v>
      </c>
      <c r="M9" s="3187" t="s">
        <v>3103</v>
      </c>
      <c r="N9" s="3187" t="s">
        <v>3104</v>
      </c>
      <c r="O9" s="3187">
        <v>2947.48</v>
      </c>
      <c r="P9" s="3187">
        <v>170</v>
      </c>
      <c r="Q9" s="3187">
        <v>850</v>
      </c>
      <c r="R9" s="3187">
        <v>0</v>
      </c>
      <c r="S9" s="3187" t="s">
        <v>3089</v>
      </c>
      <c r="T9" s="3187" t="s">
        <v>3072</v>
      </c>
    </row>
    <row r="10" spans="1:20" ht="14.25">
      <c r="A10" s="3187" t="s">
        <v>3107</v>
      </c>
      <c r="B10" s="3187" t="s">
        <v>3059</v>
      </c>
      <c r="C10" s="3187" t="s">
        <v>3060</v>
      </c>
      <c r="D10" s="3187" t="s">
        <v>2818</v>
      </c>
      <c r="E10" s="3187" t="s">
        <v>3107</v>
      </c>
      <c r="F10" s="3187" t="s">
        <v>3061</v>
      </c>
      <c r="G10" s="3187" t="s">
        <v>3108</v>
      </c>
      <c r="H10" s="3187" t="s">
        <v>3084</v>
      </c>
      <c r="I10" s="3187">
        <v>26986.38</v>
      </c>
      <c r="J10" s="3187">
        <v>107945.5</v>
      </c>
      <c r="K10" s="3187" t="s">
        <v>3109</v>
      </c>
      <c r="L10" s="3187" t="s">
        <v>3110</v>
      </c>
      <c r="M10" s="3187" t="s">
        <v>3111</v>
      </c>
      <c r="N10" s="3187" t="s">
        <v>3112</v>
      </c>
      <c r="O10" s="3187">
        <v>6476.72</v>
      </c>
      <c r="P10" s="3187">
        <v>160</v>
      </c>
      <c r="Q10" s="3187">
        <v>600</v>
      </c>
      <c r="R10" s="3187">
        <v>0</v>
      </c>
      <c r="S10" s="3187" t="s">
        <v>3089</v>
      </c>
      <c r="T10" s="3187" t="s">
        <v>3081</v>
      </c>
    </row>
    <row r="11" spans="1:20" ht="14.25">
      <c r="A11" s="3187" t="s">
        <v>3113</v>
      </c>
      <c r="B11" s="3187" t="s">
        <v>3059</v>
      </c>
      <c r="C11" s="3187" t="s">
        <v>3060</v>
      </c>
      <c r="D11" s="3187" t="s">
        <v>2818</v>
      </c>
      <c r="E11" s="3187" t="s">
        <v>3113</v>
      </c>
      <c r="F11" s="3187" t="s">
        <v>3061</v>
      </c>
      <c r="G11" s="3187" t="s">
        <v>3114</v>
      </c>
      <c r="H11" s="3187" t="s">
        <v>3084</v>
      </c>
      <c r="I11" s="3187">
        <v>44989.37</v>
      </c>
      <c r="J11" s="3187">
        <v>179957.5</v>
      </c>
      <c r="K11" s="3187" t="s">
        <v>3109</v>
      </c>
      <c r="L11" s="3187" t="s">
        <v>3110</v>
      </c>
      <c r="M11" s="3187" t="s">
        <v>3111</v>
      </c>
      <c r="N11" s="3187" t="s">
        <v>3115</v>
      </c>
      <c r="O11" s="3187">
        <v>10797.45</v>
      </c>
      <c r="P11" s="3187">
        <v>160</v>
      </c>
      <c r="Q11" s="3187">
        <v>600</v>
      </c>
      <c r="R11" s="3187">
        <v>0</v>
      </c>
      <c r="S11" s="3187" t="s">
        <v>3089</v>
      </c>
      <c r="T11" s="3187" t="s">
        <v>3081</v>
      </c>
    </row>
    <row r="12" spans="1:20" ht="14.25">
      <c r="A12" s="3187" t="s">
        <v>3116</v>
      </c>
      <c r="B12" s="3187" t="s">
        <v>3059</v>
      </c>
      <c r="C12" s="3187" t="s">
        <v>3060</v>
      </c>
      <c r="D12" s="3187" t="s">
        <v>2818</v>
      </c>
      <c r="E12" s="3187" t="s">
        <v>3116</v>
      </c>
      <c r="F12" s="3187" t="s">
        <v>3061</v>
      </c>
      <c r="G12" s="3187" t="s">
        <v>3117</v>
      </c>
      <c r="H12" s="3187" t="s">
        <v>3084</v>
      </c>
      <c r="I12" s="3187">
        <v>51604.86</v>
      </c>
      <c r="J12" s="3187">
        <v>154814.6</v>
      </c>
      <c r="K12" s="3187" t="s">
        <v>3118</v>
      </c>
      <c r="L12" s="3187" t="s">
        <v>3119</v>
      </c>
      <c r="M12" s="3187" t="s">
        <v>3120</v>
      </c>
      <c r="N12" s="3187" t="s">
        <v>3104</v>
      </c>
      <c r="O12" s="3187">
        <v>11611.1</v>
      </c>
      <c r="P12" s="3187">
        <v>150</v>
      </c>
      <c r="Q12" s="3187">
        <v>750</v>
      </c>
      <c r="R12" s="3187">
        <v>0</v>
      </c>
      <c r="S12" s="3187" t="s">
        <v>3089</v>
      </c>
      <c r="T12" s="3187" t="s">
        <v>3072</v>
      </c>
    </row>
    <row r="13" spans="1:20" s="3189" customFormat="1" ht="14.25">
      <c r="A13" s="3188" t="s">
        <v>3121</v>
      </c>
      <c r="B13" s="3188" t="s">
        <v>3059</v>
      </c>
      <c r="C13" s="3188" t="s">
        <v>3060</v>
      </c>
      <c r="D13" s="3188" t="s">
        <v>2818</v>
      </c>
      <c r="E13" s="3188" t="s">
        <v>3121</v>
      </c>
      <c r="F13" s="3188" t="s">
        <v>3061</v>
      </c>
      <c r="G13" s="3188" t="s">
        <v>3122</v>
      </c>
      <c r="H13" s="3188" t="s">
        <v>3084</v>
      </c>
      <c r="I13" s="3188">
        <v>214504.9</v>
      </c>
      <c r="J13" s="3188">
        <v>643514.6</v>
      </c>
      <c r="K13" s="3188" t="s">
        <v>3093</v>
      </c>
      <c r="L13" s="3188" t="s">
        <v>3123</v>
      </c>
      <c r="M13" s="3188" t="s">
        <v>3124</v>
      </c>
      <c r="N13" s="3188" t="s">
        <v>2996</v>
      </c>
      <c r="O13" s="3188">
        <v>128702.89</v>
      </c>
      <c r="P13" s="3188">
        <v>400</v>
      </c>
      <c r="Q13" s="3188">
        <v>2000</v>
      </c>
      <c r="R13" s="3188">
        <v>0</v>
      </c>
      <c r="S13" s="3188" t="s">
        <v>3125</v>
      </c>
      <c r="T13" s="3188" t="s">
        <v>3069</v>
      </c>
    </row>
    <row r="14" spans="1:20" s="3191" customFormat="1" ht="14.25">
      <c r="A14" s="3190" t="s">
        <v>3002</v>
      </c>
      <c r="B14" s="3190" t="s">
        <v>3059</v>
      </c>
      <c r="C14" s="3190" t="s">
        <v>3060</v>
      </c>
      <c r="D14" s="3190" t="s">
        <v>2818</v>
      </c>
      <c r="E14" s="3190" t="s">
        <v>3002</v>
      </c>
      <c r="F14" s="3190" t="s">
        <v>3061</v>
      </c>
      <c r="G14" s="3190" t="s">
        <v>3126</v>
      </c>
      <c r="H14" s="3190" t="s">
        <v>3084</v>
      </c>
      <c r="I14" s="3190">
        <v>43369.49</v>
      </c>
      <c r="J14" s="3190">
        <v>86738.98</v>
      </c>
      <c r="K14" s="3190" t="s">
        <v>3127</v>
      </c>
      <c r="L14" s="3190" t="s">
        <v>3123</v>
      </c>
      <c r="M14" s="3190" t="s">
        <v>3124</v>
      </c>
      <c r="N14" s="3190" t="s">
        <v>2996</v>
      </c>
      <c r="O14" s="3190">
        <v>26021.68</v>
      </c>
      <c r="P14" s="3190">
        <v>400</v>
      </c>
      <c r="Q14" s="3190">
        <v>3000</v>
      </c>
      <c r="R14" s="3190">
        <v>0</v>
      </c>
      <c r="S14" s="3190" t="s">
        <v>3125</v>
      </c>
      <c r="T14" s="3190" t="s">
        <v>3072</v>
      </c>
    </row>
    <row r="15" spans="1:20" s="3189" customFormat="1" ht="14.25">
      <c r="A15" s="3188" t="s">
        <v>3128</v>
      </c>
      <c r="B15" s="3188" t="s">
        <v>3059</v>
      </c>
      <c r="C15" s="3188" t="s">
        <v>3060</v>
      </c>
      <c r="D15" s="3188" t="s">
        <v>2818</v>
      </c>
      <c r="E15" s="3188" t="s">
        <v>3128</v>
      </c>
      <c r="F15" s="3188" t="s">
        <v>3061</v>
      </c>
      <c r="G15" s="3188" t="s">
        <v>3129</v>
      </c>
      <c r="H15" s="3188" t="s">
        <v>3084</v>
      </c>
      <c r="I15" s="3188">
        <v>214910.5</v>
      </c>
      <c r="J15" s="3188">
        <v>644731.4</v>
      </c>
      <c r="K15" s="3188" t="s">
        <v>3093</v>
      </c>
      <c r="L15" s="3188" t="s">
        <v>3123</v>
      </c>
      <c r="M15" s="3188" t="s">
        <v>3124</v>
      </c>
      <c r="N15" s="3188" t="s">
        <v>2996</v>
      </c>
      <c r="O15" s="3188">
        <v>128946.3</v>
      </c>
      <c r="P15" s="3188">
        <v>400</v>
      </c>
      <c r="Q15" s="3188">
        <v>2000</v>
      </c>
      <c r="R15" s="3188">
        <v>0</v>
      </c>
      <c r="S15" s="3188" t="s">
        <v>3125</v>
      </c>
      <c r="T15" s="3188" t="s">
        <v>3069</v>
      </c>
    </row>
    <row r="16" spans="1:20" s="3189" customFormat="1" ht="14.25">
      <c r="A16" s="3188" t="s">
        <v>3130</v>
      </c>
      <c r="B16" s="3188" t="s">
        <v>3059</v>
      </c>
      <c r="C16" s="3188" t="s">
        <v>3060</v>
      </c>
      <c r="D16" s="3188" t="s">
        <v>2818</v>
      </c>
      <c r="E16" s="3188" t="s">
        <v>3130</v>
      </c>
      <c r="F16" s="3188" t="s">
        <v>3061</v>
      </c>
      <c r="G16" s="3188" t="s">
        <v>3131</v>
      </c>
      <c r="H16" s="3188" t="s">
        <v>3084</v>
      </c>
      <c r="I16" s="3188">
        <v>46784.02</v>
      </c>
      <c r="J16" s="3188">
        <v>140352.1</v>
      </c>
      <c r="K16" s="3188" t="s">
        <v>3093</v>
      </c>
      <c r="L16" s="3188" t="s">
        <v>3123</v>
      </c>
      <c r="M16" s="3188" t="s">
        <v>3124</v>
      </c>
      <c r="N16" s="3188" t="s">
        <v>2996</v>
      </c>
      <c r="O16" s="3188">
        <v>28070.400000000001</v>
      </c>
      <c r="P16" s="3188">
        <v>400</v>
      </c>
      <c r="Q16" s="3188">
        <v>2000</v>
      </c>
      <c r="R16" s="3188">
        <v>0</v>
      </c>
      <c r="S16" s="3188" t="s">
        <v>3125</v>
      </c>
      <c r="T16" s="3188" t="s">
        <v>3072</v>
      </c>
    </row>
    <row r="17" spans="1:20" ht="14.25">
      <c r="A17" s="3187" t="s">
        <v>3132</v>
      </c>
      <c r="B17" s="3187" t="s">
        <v>3059</v>
      </c>
      <c r="C17" s="3187" t="s">
        <v>3060</v>
      </c>
      <c r="D17" s="3187" t="s">
        <v>2818</v>
      </c>
      <c r="E17" s="3187" t="s">
        <v>3132</v>
      </c>
      <c r="F17" s="3187" t="s">
        <v>3061</v>
      </c>
      <c r="G17" s="3187" t="s">
        <v>3133</v>
      </c>
      <c r="H17" s="3187" t="s">
        <v>3084</v>
      </c>
      <c r="I17" s="3187">
        <v>6482.67</v>
      </c>
      <c r="J17" s="3187">
        <v>19448.009999999998</v>
      </c>
      <c r="K17" s="3187" t="s">
        <v>3134</v>
      </c>
      <c r="L17" s="3187" t="s">
        <v>3135</v>
      </c>
      <c r="M17" s="3187" t="s">
        <v>3136</v>
      </c>
      <c r="N17" s="3187" t="s">
        <v>3137</v>
      </c>
      <c r="O17" s="3187">
        <v>486.19</v>
      </c>
      <c r="P17" s="3187">
        <v>50</v>
      </c>
      <c r="Q17" s="3187">
        <v>250</v>
      </c>
      <c r="R17" s="3187">
        <v>0</v>
      </c>
      <c r="S17" s="3187" t="s">
        <v>3125</v>
      </c>
      <c r="T17" s="3187" t="s">
        <v>3069</v>
      </c>
    </row>
    <row r="18" spans="1:20" ht="14.25" hidden="1">
      <c r="A18" s="3187" t="s">
        <v>3138</v>
      </c>
      <c r="B18" s="3187" t="s">
        <v>3059</v>
      </c>
      <c r="C18" s="3187" t="s">
        <v>3060</v>
      </c>
      <c r="D18" s="3187" t="s">
        <v>2818</v>
      </c>
      <c r="E18" s="3187" t="s">
        <v>3138</v>
      </c>
      <c r="F18" s="3187" t="s">
        <v>3061</v>
      </c>
      <c r="G18" s="3187" t="s">
        <v>3139</v>
      </c>
      <c r="H18" s="3187" t="s">
        <v>3140</v>
      </c>
      <c r="I18" s="3187">
        <v>24838.1</v>
      </c>
      <c r="J18" s="3187">
        <v>62095.25</v>
      </c>
      <c r="K18" s="3187" t="s">
        <v>3141</v>
      </c>
      <c r="L18" s="3187" t="s">
        <v>3142</v>
      </c>
      <c r="M18" s="3187" t="s">
        <v>3143</v>
      </c>
      <c r="N18" s="3187" t="s">
        <v>3144</v>
      </c>
      <c r="O18" s="3187">
        <v>2235.42</v>
      </c>
      <c r="P18" s="3187">
        <v>60</v>
      </c>
      <c r="Q18" s="3187">
        <v>360</v>
      </c>
      <c r="R18" s="3187">
        <v>0</v>
      </c>
      <c r="S18" s="3187" t="s">
        <v>3125</v>
      </c>
      <c r="T18" s="3187" t="s">
        <v>3069</v>
      </c>
    </row>
    <row r="19" spans="1:20" ht="14.25" hidden="1">
      <c r="A19" s="3187" t="s">
        <v>3145</v>
      </c>
      <c r="B19" s="3187" t="s">
        <v>3059</v>
      </c>
      <c r="C19" s="3187" t="s">
        <v>3060</v>
      </c>
      <c r="D19" s="3187" t="s">
        <v>2818</v>
      </c>
      <c r="E19" s="3187" t="s">
        <v>3145</v>
      </c>
      <c r="F19" s="3187" t="s">
        <v>3061</v>
      </c>
      <c r="G19" s="3187" t="s">
        <v>3146</v>
      </c>
      <c r="H19" s="3187" t="s">
        <v>3005</v>
      </c>
      <c r="I19" s="3187">
        <v>4265.01</v>
      </c>
      <c r="J19" s="3187" t="s">
        <v>2818</v>
      </c>
      <c r="K19" s="3187" t="s">
        <v>3064</v>
      </c>
      <c r="L19" s="3187" t="s">
        <v>3147</v>
      </c>
      <c r="M19" s="3187" t="s">
        <v>3148</v>
      </c>
      <c r="N19" s="3187" t="s">
        <v>3149</v>
      </c>
      <c r="O19" s="3187">
        <v>511.8</v>
      </c>
      <c r="P19" s="3187">
        <v>80</v>
      </c>
      <c r="Q19" s="3187" t="s">
        <v>2818</v>
      </c>
      <c r="R19" s="3187">
        <v>0</v>
      </c>
      <c r="S19" s="3187" t="s">
        <v>3125</v>
      </c>
      <c r="T19" s="3187" t="s">
        <v>3069</v>
      </c>
    </row>
    <row r="20" spans="1:20" ht="14.25" hidden="1">
      <c r="A20" s="3187" t="s">
        <v>3150</v>
      </c>
      <c r="B20" s="3187" t="s">
        <v>3059</v>
      </c>
      <c r="C20" s="3187" t="s">
        <v>3060</v>
      </c>
      <c r="D20" s="3187" t="s">
        <v>2818</v>
      </c>
      <c r="E20" s="3187" t="s">
        <v>3150</v>
      </c>
      <c r="F20" s="3187" t="s">
        <v>3061</v>
      </c>
      <c r="G20" s="3187" t="s">
        <v>3151</v>
      </c>
      <c r="H20" s="3187" t="s">
        <v>3005</v>
      </c>
      <c r="I20" s="3187">
        <v>2846.3</v>
      </c>
      <c r="J20" s="3187" t="s">
        <v>2818</v>
      </c>
      <c r="K20" s="3187" t="s">
        <v>3064</v>
      </c>
      <c r="L20" s="3187" t="s">
        <v>3152</v>
      </c>
      <c r="M20" s="3187" t="s">
        <v>3153</v>
      </c>
      <c r="N20" s="3187" t="s">
        <v>3154</v>
      </c>
      <c r="O20" s="3187">
        <v>939.28</v>
      </c>
      <c r="P20" s="3187">
        <v>220</v>
      </c>
      <c r="Q20" s="3187" t="s">
        <v>2818</v>
      </c>
      <c r="R20" s="3187">
        <v>10</v>
      </c>
      <c r="S20" s="3187" t="s">
        <v>3125</v>
      </c>
      <c r="T20" s="3187" t="s">
        <v>3069</v>
      </c>
    </row>
    <row r="21" spans="1:20" ht="14.25" hidden="1">
      <c r="A21" s="3187" t="s">
        <v>3155</v>
      </c>
      <c r="B21" s="3187" t="s">
        <v>3059</v>
      </c>
      <c r="C21" s="3187" t="s">
        <v>3060</v>
      </c>
      <c r="D21" s="3187" t="s">
        <v>2818</v>
      </c>
      <c r="E21" s="3187" t="s">
        <v>3155</v>
      </c>
      <c r="F21" s="3187" t="s">
        <v>3061</v>
      </c>
      <c r="G21" s="3187" t="s">
        <v>3156</v>
      </c>
      <c r="H21" s="3187" t="s">
        <v>3084</v>
      </c>
      <c r="I21" s="3187">
        <v>5380.21</v>
      </c>
      <c r="J21" s="3187">
        <v>32281.26</v>
      </c>
      <c r="K21" s="3187" t="s">
        <v>3157</v>
      </c>
      <c r="L21" s="3187" t="s">
        <v>3152</v>
      </c>
      <c r="M21" s="3187" t="s">
        <v>3158</v>
      </c>
      <c r="N21" s="3187" t="s">
        <v>3159</v>
      </c>
      <c r="O21" s="3187">
        <v>605.26</v>
      </c>
      <c r="P21" s="3187">
        <v>75</v>
      </c>
      <c r="Q21" s="3187">
        <v>187.5</v>
      </c>
      <c r="R21" s="3187">
        <v>0</v>
      </c>
      <c r="S21" s="3187" t="s">
        <v>3125</v>
      </c>
      <c r="T21" s="3187" t="s">
        <v>3069</v>
      </c>
    </row>
    <row r="22" spans="1:20" ht="14.25" hidden="1">
      <c r="A22" s="3187" t="s">
        <v>3160</v>
      </c>
      <c r="B22" s="3187" t="s">
        <v>3059</v>
      </c>
      <c r="C22" s="3187" t="s">
        <v>3060</v>
      </c>
      <c r="D22" s="3187" t="s">
        <v>2818</v>
      </c>
      <c r="E22" s="3187" t="s">
        <v>3160</v>
      </c>
      <c r="F22" s="3187" t="s">
        <v>3061</v>
      </c>
      <c r="G22" s="3187" t="s">
        <v>3161</v>
      </c>
      <c r="H22" s="3187" t="s">
        <v>3005</v>
      </c>
      <c r="I22" s="3187">
        <v>5961.29</v>
      </c>
      <c r="J22" s="3187" t="s">
        <v>2818</v>
      </c>
      <c r="K22" s="3187" t="s">
        <v>2818</v>
      </c>
      <c r="L22" s="3187" t="s">
        <v>3162</v>
      </c>
      <c r="M22" s="3187" t="s">
        <v>3163</v>
      </c>
      <c r="N22" s="3187" t="s">
        <v>3149</v>
      </c>
      <c r="O22" s="3187">
        <v>715.75</v>
      </c>
      <c r="P22" s="3187">
        <v>80.040000000000006</v>
      </c>
      <c r="Q22" s="3187" t="s">
        <v>2818</v>
      </c>
      <c r="R22" s="3187">
        <v>0.06</v>
      </c>
      <c r="S22" s="3187" t="s">
        <v>3125</v>
      </c>
      <c r="T22" s="3187" t="s">
        <v>3069</v>
      </c>
    </row>
    <row r="23" spans="1:20" ht="14.25" hidden="1">
      <c r="A23" s="3187" t="s">
        <v>3164</v>
      </c>
      <c r="B23" s="3187" t="s">
        <v>3059</v>
      </c>
      <c r="C23" s="3187" t="s">
        <v>3060</v>
      </c>
      <c r="D23" s="3187" t="s">
        <v>2818</v>
      </c>
      <c r="E23" s="3187" t="s">
        <v>3164</v>
      </c>
      <c r="F23" s="3187" t="s">
        <v>3061</v>
      </c>
      <c r="G23" s="3187" t="s">
        <v>3165</v>
      </c>
      <c r="H23" s="3187" t="s">
        <v>3005</v>
      </c>
      <c r="I23" s="3187">
        <v>4390.8500000000004</v>
      </c>
      <c r="J23" s="3187" t="s">
        <v>2818</v>
      </c>
      <c r="K23" s="3187" t="s">
        <v>2818</v>
      </c>
      <c r="L23" s="3187" t="s">
        <v>3162</v>
      </c>
      <c r="M23" s="3187" t="s">
        <v>3166</v>
      </c>
      <c r="N23" s="3187" t="s">
        <v>3167</v>
      </c>
      <c r="O23" s="3187">
        <v>526.91</v>
      </c>
      <c r="P23" s="3187">
        <v>80</v>
      </c>
      <c r="Q23" s="3187" t="s">
        <v>2818</v>
      </c>
      <c r="R23" s="3187">
        <v>0</v>
      </c>
      <c r="S23" s="3187" t="s">
        <v>3125</v>
      </c>
      <c r="T23" s="3187" t="s">
        <v>3069</v>
      </c>
    </row>
    <row r="24" spans="1:20" ht="14.25" hidden="1">
      <c r="A24" s="3187" t="s">
        <v>3168</v>
      </c>
      <c r="B24" s="3187" t="s">
        <v>3059</v>
      </c>
      <c r="C24" s="3187" t="s">
        <v>3060</v>
      </c>
      <c r="D24" s="3187" t="s">
        <v>2818</v>
      </c>
      <c r="E24" s="3187" t="s">
        <v>3168</v>
      </c>
      <c r="F24" s="3187" t="s">
        <v>3061</v>
      </c>
      <c r="G24" s="3187" t="s">
        <v>3169</v>
      </c>
      <c r="H24" s="3187" t="s">
        <v>3084</v>
      </c>
      <c r="I24" s="3187">
        <v>3443.47</v>
      </c>
      <c r="J24" s="3187">
        <v>10330.41</v>
      </c>
      <c r="K24" s="3187" t="s">
        <v>3134</v>
      </c>
      <c r="L24" s="3187" t="s">
        <v>3170</v>
      </c>
      <c r="M24" s="3187" t="s">
        <v>3171</v>
      </c>
      <c r="N24" s="3187" t="s">
        <v>3172</v>
      </c>
      <c r="O24" s="3187">
        <v>351.23</v>
      </c>
      <c r="P24" s="3187">
        <v>68</v>
      </c>
      <c r="Q24" s="3187">
        <v>340</v>
      </c>
      <c r="R24" s="3187">
        <v>0</v>
      </c>
      <c r="S24" s="3187" t="s">
        <v>3173</v>
      </c>
      <c r="T24" s="3187" t="s">
        <v>3069</v>
      </c>
    </row>
    <row r="25" spans="1:20" ht="14.25" hidden="1">
      <c r="A25" s="3187" t="s">
        <v>3174</v>
      </c>
      <c r="B25" s="3187" t="s">
        <v>3059</v>
      </c>
      <c r="C25" s="3187" t="s">
        <v>3060</v>
      </c>
      <c r="D25" s="3187" t="s">
        <v>2818</v>
      </c>
      <c r="E25" s="3187" t="s">
        <v>3174</v>
      </c>
      <c r="F25" s="3187" t="s">
        <v>3061</v>
      </c>
      <c r="G25" s="3187" t="s">
        <v>3175</v>
      </c>
      <c r="H25" s="3187" t="s">
        <v>3084</v>
      </c>
      <c r="I25" s="3187">
        <v>7216.47</v>
      </c>
      <c r="J25" s="3187">
        <v>21649.41</v>
      </c>
      <c r="K25" s="3187" t="s">
        <v>3093</v>
      </c>
      <c r="L25" s="3187" t="s">
        <v>3176</v>
      </c>
      <c r="M25" s="3187" t="s">
        <v>3177</v>
      </c>
      <c r="N25" s="3187" t="s">
        <v>3178</v>
      </c>
      <c r="O25" s="3187">
        <v>1082.47</v>
      </c>
      <c r="P25" s="3187">
        <v>100</v>
      </c>
      <c r="Q25" s="3187">
        <v>500</v>
      </c>
      <c r="R25" s="3187">
        <v>0</v>
      </c>
      <c r="S25" s="3187" t="s">
        <v>3125</v>
      </c>
      <c r="T25" s="3187" t="s">
        <v>3072</v>
      </c>
    </row>
    <row r="26" spans="1:20" ht="14.25" hidden="1">
      <c r="A26" s="3187" t="s">
        <v>3179</v>
      </c>
      <c r="B26" s="3187" t="s">
        <v>3059</v>
      </c>
      <c r="C26" s="3187" t="s">
        <v>3060</v>
      </c>
      <c r="D26" s="3187" t="s">
        <v>2818</v>
      </c>
      <c r="E26" s="3187" t="s">
        <v>3179</v>
      </c>
      <c r="F26" s="3187" t="s">
        <v>3061</v>
      </c>
      <c r="G26" s="3187" t="s">
        <v>3180</v>
      </c>
      <c r="H26" s="3187" t="s">
        <v>3084</v>
      </c>
      <c r="I26" s="3187">
        <v>33684.5</v>
      </c>
      <c r="J26" s="3187">
        <v>101053.5</v>
      </c>
      <c r="K26" s="3187" t="s">
        <v>3093</v>
      </c>
      <c r="L26" s="3187" t="s">
        <v>3176</v>
      </c>
      <c r="M26" s="3187" t="s">
        <v>3181</v>
      </c>
      <c r="N26" s="3187" t="s">
        <v>3182</v>
      </c>
      <c r="O26" s="3187">
        <v>3435.82</v>
      </c>
      <c r="P26" s="3187">
        <v>68</v>
      </c>
      <c r="Q26" s="3187">
        <v>340</v>
      </c>
      <c r="R26" s="3187">
        <v>0</v>
      </c>
      <c r="S26" s="3187" t="s">
        <v>3125</v>
      </c>
      <c r="T26" s="3187" t="s">
        <v>3069</v>
      </c>
    </row>
    <row r="27" spans="1:20" ht="14.25" hidden="1">
      <c r="A27" s="3187" t="s">
        <v>3183</v>
      </c>
      <c r="B27" s="3187" t="s">
        <v>3059</v>
      </c>
      <c r="C27" s="3187" t="s">
        <v>3060</v>
      </c>
      <c r="D27" s="3187" t="s">
        <v>2818</v>
      </c>
      <c r="E27" s="3187" t="s">
        <v>3183</v>
      </c>
      <c r="F27" s="3187" t="s">
        <v>3061</v>
      </c>
      <c r="G27" s="3187" t="s">
        <v>3184</v>
      </c>
      <c r="H27" s="3187" t="s">
        <v>3084</v>
      </c>
      <c r="I27" s="3187">
        <v>77691.83</v>
      </c>
      <c r="J27" s="3187">
        <v>233075.5</v>
      </c>
      <c r="K27" s="3187" t="s">
        <v>3134</v>
      </c>
      <c r="L27" s="3187" t="s">
        <v>3185</v>
      </c>
      <c r="M27" s="3187" t="s">
        <v>3186</v>
      </c>
      <c r="N27" s="3187" t="s">
        <v>3187</v>
      </c>
      <c r="O27" s="3187">
        <v>7924.56</v>
      </c>
      <c r="P27" s="3187">
        <v>68</v>
      </c>
      <c r="Q27" s="3187">
        <v>340</v>
      </c>
      <c r="R27" s="3187">
        <v>0</v>
      </c>
      <c r="S27" s="3187" t="s">
        <v>3125</v>
      </c>
      <c r="T27" s="3187" t="s">
        <v>3072</v>
      </c>
    </row>
    <row r="28" spans="1:20" ht="14.25" hidden="1">
      <c r="A28" s="3187" t="s">
        <v>3188</v>
      </c>
      <c r="B28" s="3187" t="s">
        <v>3059</v>
      </c>
      <c r="C28" s="3187" t="s">
        <v>3060</v>
      </c>
      <c r="D28" s="3187" t="s">
        <v>2818</v>
      </c>
      <c r="E28" s="3187" t="s">
        <v>3188</v>
      </c>
      <c r="F28" s="3187" t="s">
        <v>3061</v>
      </c>
      <c r="G28" s="3187" t="s">
        <v>3189</v>
      </c>
      <c r="H28" s="3187" t="s">
        <v>3190</v>
      </c>
      <c r="I28" s="3187">
        <v>93490.05</v>
      </c>
      <c r="J28" s="3187">
        <v>186980.1</v>
      </c>
      <c r="K28" s="3187">
        <v>2</v>
      </c>
      <c r="L28" s="3187" t="s">
        <v>3191</v>
      </c>
      <c r="M28" s="3187" t="s">
        <v>3192</v>
      </c>
      <c r="N28" s="3187" t="s">
        <v>3193</v>
      </c>
      <c r="O28" s="3187">
        <v>9535.98</v>
      </c>
      <c r="P28" s="3187">
        <v>68</v>
      </c>
      <c r="Q28" s="3187">
        <v>510</v>
      </c>
      <c r="R28" s="3187">
        <v>70</v>
      </c>
      <c r="S28" s="3187" t="s">
        <v>3194</v>
      </c>
      <c r="T28" s="3187" t="s">
        <v>3069</v>
      </c>
    </row>
    <row r="29" spans="1:20" ht="14.25" hidden="1">
      <c r="A29" s="3187" t="s">
        <v>3195</v>
      </c>
      <c r="B29" s="3187" t="s">
        <v>3059</v>
      </c>
      <c r="C29" s="3187" t="s">
        <v>3060</v>
      </c>
      <c r="D29" s="3187" t="s">
        <v>2818</v>
      </c>
      <c r="E29" s="3187" t="s">
        <v>3195</v>
      </c>
      <c r="F29" s="3187" t="s">
        <v>3061</v>
      </c>
      <c r="G29" s="3187" t="s">
        <v>3196</v>
      </c>
      <c r="H29" s="3187" t="s">
        <v>3084</v>
      </c>
      <c r="I29" s="3187">
        <v>59071.199999999997</v>
      </c>
      <c r="J29" s="3187">
        <v>354427.2</v>
      </c>
      <c r="K29" s="3187" t="s">
        <v>3197</v>
      </c>
      <c r="L29" s="3187" t="s">
        <v>3198</v>
      </c>
      <c r="M29" s="3187" t="s">
        <v>3199</v>
      </c>
      <c r="N29" s="3187" t="s">
        <v>3159</v>
      </c>
      <c r="O29" s="3187">
        <v>6645.51</v>
      </c>
      <c r="P29" s="3187">
        <v>75</v>
      </c>
      <c r="Q29" s="3187">
        <v>187.5</v>
      </c>
      <c r="R29" s="3187">
        <v>0</v>
      </c>
      <c r="S29" s="3187" t="s">
        <v>3125</v>
      </c>
      <c r="T29" s="3187" t="s">
        <v>3069</v>
      </c>
    </row>
    <row r="30" spans="1:20" ht="14.25" hidden="1">
      <c r="A30" s="3187" t="s">
        <v>3200</v>
      </c>
      <c r="B30" s="3187" t="s">
        <v>3059</v>
      </c>
      <c r="C30" s="3187" t="s">
        <v>3060</v>
      </c>
      <c r="D30" s="3187" t="s">
        <v>2818</v>
      </c>
      <c r="E30" s="3187" t="s">
        <v>3200</v>
      </c>
      <c r="F30" s="3187" t="s">
        <v>3061</v>
      </c>
      <c r="G30" s="3187" t="s">
        <v>3201</v>
      </c>
      <c r="H30" s="3187" t="s">
        <v>3084</v>
      </c>
      <c r="I30" s="3187">
        <v>41772.129999999997</v>
      </c>
      <c r="J30" s="3187">
        <v>125316.4</v>
      </c>
      <c r="K30" s="3187" t="s">
        <v>3202</v>
      </c>
      <c r="L30" s="3187" t="s">
        <v>3203</v>
      </c>
      <c r="M30" s="3187" t="s">
        <v>3204</v>
      </c>
      <c r="N30" s="3187" t="s">
        <v>3104</v>
      </c>
      <c r="O30" s="3187">
        <v>4260.76</v>
      </c>
      <c r="P30" s="3187">
        <v>68</v>
      </c>
      <c r="Q30" s="3187">
        <v>340</v>
      </c>
      <c r="R30" s="3187">
        <v>0</v>
      </c>
      <c r="S30" s="3187" t="s">
        <v>3125</v>
      </c>
      <c r="T30" s="3187" t="s">
        <v>3205</v>
      </c>
    </row>
    <row r="31" spans="1:20" ht="14.25" hidden="1">
      <c r="A31" s="3187" t="s">
        <v>3206</v>
      </c>
      <c r="B31" s="3187" t="s">
        <v>3059</v>
      </c>
      <c r="C31" s="3187" t="s">
        <v>3060</v>
      </c>
      <c r="D31" s="3187" t="s">
        <v>2818</v>
      </c>
      <c r="E31" s="3187" t="s">
        <v>3206</v>
      </c>
      <c r="F31" s="3187" t="s">
        <v>3061</v>
      </c>
      <c r="G31" s="3187" t="s">
        <v>3207</v>
      </c>
      <c r="H31" s="3187" t="s">
        <v>3190</v>
      </c>
      <c r="I31" s="3187">
        <v>26429.25</v>
      </c>
      <c r="J31" s="3187">
        <v>79287.75</v>
      </c>
      <c r="K31" s="3187" t="s">
        <v>3134</v>
      </c>
      <c r="L31" s="3187" t="s">
        <v>3208</v>
      </c>
      <c r="M31" s="3187" t="s">
        <v>3209</v>
      </c>
      <c r="N31" s="3187" t="s">
        <v>3182</v>
      </c>
      <c r="O31" s="3187">
        <v>2576.84</v>
      </c>
      <c r="P31" s="3187">
        <v>65</v>
      </c>
      <c r="Q31" s="3187">
        <v>325</v>
      </c>
      <c r="R31" s="3187">
        <v>0</v>
      </c>
      <c r="S31" s="3187" t="s">
        <v>3125</v>
      </c>
      <c r="T31" s="3187" t="s">
        <v>3072</v>
      </c>
    </row>
    <row r="32" spans="1:20" ht="14.25" hidden="1">
      <c r="A32" s="3187" t="s">
        <v>3210</v>
      </c>
      <c r="B32" s="3187" t="s">
        <v>3059</v>
      </c>
      <c r="C32" s="3187" t="s">
        <v>3060</v>
      </c>
      <c r="D32" s="3187" t="s">
        <v>2818</v>
      </c>
      <c r="E32" s="3187" t="s">
        <v>3210</v>
      </c>
      <c r="F32" s="3187" t="s">
        <v>3061</v>
      </c>
      <c r="G32" s="3187" t="s">
        <v>3211</v>
      </c>
      <c r="H32" s="3187" t="s">
        <v>3084</v>
      </c>
      <c r="I32" s="3187">
        <v>36849.160000000003</v>
      </c>
      <c r="J32" s="3187">
        <v>110547.5</v>
      </c>
      <c r="K32" s="3187" t="s">
        <v>3212</v>
      </c>
      <c r="L32" s="3187" t="s">
        <v>3213</v>
      </c>
      <c r="M32" s="3187" t="s">
        <v>3214</v>
      </c>
      <c r="N32" s="3187" t="s">
        <v>3215</v>
      </c>
      <c r="O32" s="3187">
        <v>3758.61</v>
      </c>
      <c r="P32" s="3187">
        <v>68</v>
      </c>
      <c r="Q32" s="3187">
        <v>340</v>
      </c>
      <c r="R32" s="3187">
        <v>0</v>
      </c>
      <c r="S32" s="3187" t="s">
        <v>3089</v>
      </c>
      <c r="T32" s="3187" t="s">
        <v>3072</v>
      </c>
    </row>
    <row r="33" spans="1:20" ht="14.25" hidden="1">
      <c r="A33" s="3187" t="s">
        <v>3216</v>
      </c>
      <c r="B33" s="3187" t="s">
        <v>3059</v>
      </c>
      <c r="C33" s="3187" t="s">
        <v>3060</v>
      </c>
      <c r="D33" s="3187" t="s">
        <v>2818</v>
      </c>
      <c r="E33" s="3187" t="s">
        <v>3216</v>
      </c>
      <c r="F33" s="3187" t="s">
        <v>3061</v>
      </c>
      <c r="G33" s="3187" t="s">
        <v>3217</v>
      </c>
      <c r="H33" s="3187" t="s">
        <v>3084</v>
      </c>
      <c r="I33" s="3187">
        <v>13828.88</v>
      </c>
      <c r="J33" s="3187">
        <v>41486.639999999999</v>
      </c>
      <c r="K33" s="3187" t="s">
        <v>3212</v>
      </c>
      <c r="L33" s="3187" t="s">
        <v>3213</v>
      </c>
      <c r="M33" s="3187" t="s">
        <v>3218</v>
      </c>
      <c r="N33" s="3187" t="s">
        <v>3215</v>
      </c>
      <c r="O33" s="3187">
        <v>1410.53</v>
      </c>
      <c r="P33" s="3187">
        <v>68</v>
      </c>
      <c r="Q33" s="3187">
        <v>340</v>
      </c>
      <c r="R33" s="3187">
        <v>0</v>
      </c>
      <c r="S33" s="3187" t="s">
        <v>3089</v>
      </c>
      <c r="T33" s="3187" t="s">
        <v>3072</v>
      </c>
    </row>
    <row r="34" spans="1:20" ht="14.25" hidden="1">
      <c r="A34" s="3187" t="s">
        <v>3219</v>
      </c>
      <c r="B34" s="3187" t="s">
        <v>3059</v>
      </c>
      <c r="C34" s="3187" t="s">
        <v>3060</v>
      </c>
      <c r="D34" s="3187" t="s">
        <v>2818</v>
      </c>
      <c r="E34" s="3187" t="s">
        <v>3219</v>
      </c>
      <c r="F34" s="3187" t="s">
        <v>3061</v>
      </c>
      <c r="G34" s="3187" t="s">
        <v>3220</v>
      </c>
      <c r="H34" s="3187" t="s">
        <v>3084</v>
      </c>
      <c r="I34" s="3187">
        <v>34819.78</v>
      </c>
      <c r="J34" s="3187">
        <v>104459.3</v>
      </c>
      <c r="K34" s="3187" t="s">
        <v>3221</v>
      </c>
      <c r="L34" s="3187" t="s">
        <v>3222</v>
      </c>
      <c r="M34" s="3187" t="s">
        <v>3223</v>
      </c>
      <c r="N34" s="3187" t="s">
        <v>3224</v>
      </c>
      <c r="O34" s="3187">
        <v>3290.46</v>
      </c>
      <c r="P34" s="3187">
        <v>63</v>
      </c>
      <c r="Q34" s="3187">
        <v>315</v>
      </c>
      <c r="R34" s="3187">
        <v>0</v>
      </c>
      <c r="S34" s="3187" t="s">
        <v>3089</v>
      </c>
      <c r="T34" s="3187" t="s">
        <v>3205</v>
      </c>
    </row>
    <row r="35" spans="1:20" ht="14.25" hidden="1">
      <c r="A35" s="3187" t="s">
        <v>3225</v>
      </c>
      <c r="B35" s="3187" t="s">
        <v>3059</v>
      </c>
      <c r="C35" s="3187" t="s">
        <v>3060</v>
      </c>
      <c r="D35" s="3187" t="s">
        <v>2818</v>
      </c>
      <c r="E35" s="3187" t="s">
        <v>3225</v>
      </c>
      <c r="F35" s="3187" t="s">
        <v>3061</v>
      </c>
      <c r="G35" s="3187" t="s">
        <v>3226</v>
      </c>
      <c r="H35" s="3187" t="s">
        <v>3084</v>
      </c>
      <c r="I35" s="3187">
        <v>43570.52</v>
      </c>
      <c r="J35" s="3187">
        <v>130711.6</v>
      </c>
      <c r="K35" s="3187" t="s">
        <v>3212</v>
      </c>
      <c r="L35" s="3187" t="s">
        <v>3227</v>
      </c>
      <c r="M35" s="3187" t="s">
        <v>3228</v>
      </c>
      <c r="N35" s="3187" t="s">
        <v>3159</v>
      </c>
      <c r="O35" s="3187">
        <v>4444.18</v>
      </c>
      <c r="P35" s="3187">
        <v>68</v>
      </c>
      <c r="Q35" s="3187">
        <v>340</v>
      </c>
      <c r="R35" s="3187">
        <v>0</v>
      </c>
      <c r="S35" s="3187" t="s">
        <v>3125</v>
      </c>
      <c r="T35" s="3187" t="s">
        <v>3205</v>
      </c>
    </row>
    <row r="36" spans="1:20" ht="14.25" hidden="1">
      <c r="A36" s="3187" t="s">
        <v>3229</v>
      </c>
      <c r="B36" s="3187" t="s">
        <v>3059</v>
      </c>
      <c r="C36" s="3187" t="s">
        <v>3060</v>
      </c>
      <c r="D36" s="3187" t="s">
        <v>2818</v>
      </c>
      <c r="E36" s="3187" t="s">
        <v>3229</v>
      </c>
      <c r="F36" s="3187" t="s">
        <v>3061</v>
      </c>
      <c r="G36" s="3187" t="s">
        <v>3230</v>
      </c>
      <c r="H36" s="3187" t="s">
        <v>3084</v>
      </c>
      <c r="I36" s="3187">
        <v>12752.32</v>
      </c>
      <c r="J36" s="3187">
        <v>38256.959999999999</v>
      </c>
      <c r="K36" s="3187" t="s">
        <v>3231</v>
      </c>
      <c r="L36" s="3187" t="s">
        <v>3232</v>
      </c>
      <c r="M36" s="3187" t="s">
        <v>3233</v>
      </c>
      <c r="N36" s="3187" t="s">
        <v>3234</v>
      </c>
      <c r="O36" s="3187">
        <v>1300.74</v>
      </c>
      <c r="P36" s="3187">
        <v>68</v>
      </c>
      <c r="Q36" s="3187">
        <v>340</v>
      </c>
      <c r="R36" s="3187">
        <v>0</v>
      </c>
      <c r="S36" s="3187" t="s">
        <v>3125</v>
      </c>
      <c r="T36" s="3187" t="s">
        <v>3069</v>
      </c>
    </row>
    <row r="37" spans="1:20" ht="14.25" hidden="1">
      <c r="A37" s="3187" t="s">
        <v>3235</v>
      </c>
      <c r="B37" s="3187" t="s">
        <v>3059</v>
      </c>
      <c r="C37" s="3187" t="s">
        <v>3060</v>
      </c>
      <c r="D37" s="3187" t="s">
        <v>2818</v>
      </c>
      <c r="E37" s="3187" t="s">
        <v>3235</v>
      </c>
      <c r="F37" s="3187" t="s">
        <v>3061</v>
      </c>
      <c r="G37" s="3187" t="s">
        <v>3236</v>
      </c>
      <c r="H37" s="3187" t="s">
        <v>3140</v>
      </c>
      <c r="I37" s="3187">
        <v>2511.0100000000002</v>
      </c>
      <c r="J37" s="3187" t="s">
        <v>2818</v>
      </c>
      <c r="K37" s="3187" t="s">
        <v>3237</v>
      </c>
      <c r="L37" s="3187" t="s">
        <v>3238</v>
      </c>
      <c r="M37" s="3187" t="s">
        <v>3239</v>
      </c>
      <c r="N37" s="3187" t="s">
        <v>3240</v>
      </c>
      <c r="O37" s="3187">
        <v>677.97</v>
      </c>
      <c r="P37" s="3187">
        <v>180</v>
      </c>
      <c r="Q37" s="3187" t="s">
        <v>2818</v>
      </c>
      <c r="R37" s="3187">
        <v>0</v>
      </c>
      <c r="S37" s="3187" t="s">
        <v>3125</v>
      </c>
      <c r="T37" s="3187" t="s">
        <v>3081</v>
      </c>
    </row>
    <row r="38" spans="1:20" ht="14.25" hidden="1">
      <c r="A38" s="3187" t="s">
        <v>3241</v>
      </c>
      <c r="B38" s="3187" t="s">
        <v>3059</v>
      </c>
      <c r="C38" s="3187" t="s">
        <v>3060</v>
      </c>
      <c r="D38" s="3187" t="s">
        <v>2818</v>
      </c>
      <c r="E38" s="3187" t="s">
        <v>3241</v>
      </c>
      <c r="F38" s="3187" t="s">
        <v>3242</v>
      </c>
      <c r="G38" s="3187" t="s">
        <v>3243</v>
      </c>
      <c r="H38" s="3187" t="s">
        <v>3084</v>
      </c>
      <c r="I38" s="3187">
        <v>2883.29</v>
      </c>
      <c r="J38" s="3187">
        <v>4324.93</v>
      </c>
      <c r="K38" s="3187" t="s">
        <v>3244</v>
      </c>
      <c r="L38" s="3187" t="s">
        <v>3245</v>
      </c>
      <c r="M38" s="3187" t="s">
        <v>3246</v>
      </c>
      <c r="N38" s="3187" t="s">
        <v>3247</v>
      </c>
      <c r="O38" s="3187">
        <v>1340.72</v>
      </c>
      <c r="P38" s="3187">
        <v>310</v>
      </c>
      <c r="Q38" s="3187">
        <v>3099.98</v>
      </c>
      <c r="R38" s="3187">
        <v>34.78</v>
      </c>
      <c r="S38" s="3187" t="s">
        <v>3125</v>
      </c>
      <c r="T38" s="3187" t="s">
        <v>3081</v>
      </c>
    </row>
    <row r="39" spans="1:20" ht="14.25" hidden="1">
      <c r="A39" s="3187" t="s">
        <v>3248</v>
      </c>
      <c r="B39" s="3187" t="s">
        <v>3059</v>
      </c>
      <c r="C39" s="3187" t="s">
        <v>3060</v>
      </c>
      <c r="D39" s="3187" t="s">
        <v>2818</v>
      </c>
      <c r="E39" s="3187" t="s">
        <v>3248</v>
      </c>
      <c r="F39" s="3187" t="s">
        <v>3242</v>
      </c>
      <c r="G39" s="3187" t="s">
        <v>3249</v>
      </c>
      <c r="H39" s="3187" t="s">
        <v>3084</v>
      </c>
      <c r="I39" s="3187">
        <v>634.5</v>
      </c>
      <c r="J39" s="3187">
        <v>951.75</v>
      </c>
      <c r="K39" s="3187" t="s">
        <v>3244</v>
      </c>
      <c r="L39" s="3187" t="s">
        <v>3250</v>
      </c>
      <c r="M39" s="3187" t="s">
        <v>3251</v>
      </c>
      <c r="N39" s="3187" t="s">
        <v>3178</v>
      </c>
      <c r="O39" s="3187">
        <v>466.37</v>
      </c>
      <c r="P39" s="3187">
        <v>490.01</v>
      </c>
      <c r="Q39" s="3187">
        <v>4900.2299999999996</v>
      </c>
      <c r="R39" s="3187">
        <v>113.05</v>
      </c>
      <c r="S39" s="3187" t="s">
        <v>3125</v>
      </c>
      <c r="T39" s="3187" t="s">
        <v>3081</v>
      </c>
    </row>
    <row r="40" spans="1:20" ht="14.25" hidden="1">
      <c r="A40" s="3187" t="s">
        <v>3252</v>
      </c>
      <c r="B40" s="3187" t="s">
        <v>3059</v>
      </c>
      <c r="C40" s="3187" t="s">
        <v>3060</v>
      </c>
      <c r="D40" s="3187" t="s">
        <v>2818</v>
      </c>
      <c r="E40" s="3187" t="s">
        <v>3252</v>
      </c>
      <c r="F40" s="3187" t="s">
        <v>3242</v>
      </c>
      <c r="G40" s="3187" t="s">
        <v>3253</v>
      </c>
      <c r="H40" s="3187" t="s">
        <v>3084</v>
      </c>
      <c r="I40" s="3187">
        <v>1725.06</v>
      </c>
      <c r="J40" s="3187">
        <v>2587.59</v>
      </c>
      <c r="K40" s="3187" t="s">
        <v>3244</v>
      </c>
      <c r="L40" s="3187" t="s">
        <v>3250</v>
      </c>
      <c r="M40" s="3187" t="s">
        <v>3254</v>
      </c>
      <c r="N40" s="3187" t="s">
        <v>3178</v>
      </c>
      <c r="O40" s="3187">
        <v>1035.03</v>
      </c>
      <c r="P40" s="3187">
        <v>400</v>
      </c>
      <c r="Q40" s="3187">
        <v>4000.01</v>
      </c>
      <c r="R40" s="3187">
        <v>100</v>
      </c>
      <c r="S40" s="3187" t="s">
        <v>3125</v>
      </c>
      <c r="T40" s="3187" t="s">
        <v>3081</v>
      </c>
    </row>
    <row r="41" spans="1:20" ht="14.25" hidden="1">
      <c r="A41" s="3187" t="s">
        <v>3255</v>
      </c>
      <c r="B41" s="3187" t="s">
        <v>3059</v>
      </c>
      <c r="C41" s="3187" t="s">
        <v>3060</v>
      </c>
      <c r="D41" s="3187" t="s">
        <v>2818</v>
      </c>
      <c r="E41" s="3187" t="s">
        <v>3255</v>
      </c>
      <c r="F41" s="3187" t="s">
        <v>3061</v>
      </c>
      <c r="G41" s="3187" t="s">
        <v>3256</v>
      </c>
      <c r="H41" s="3187" t="s">
        <v>3084</v>
      </c>
      <c r="I41" s="3187">
        <v>4287.59</v>
      </c>
      <c r="J41" s="3187">
        <v>3824.53</v>
      </c>
      <c r="K41" s="3187">
        <v>0.89200000000000002</v>
      </c>
      <c r="L41" s="3187" t="s">
        <v>3257</v>
      </c>
      <c r="M41" s="3187" t="s">
        <v>2818</v>
      </c>
      <c r="N41" s="3187" t="s">
        <v>3258</v>
      </c>
      <c r="O41" s="3187">
        <v>919.69</v>
      </c>
      <c r="P41" s="3187">
        <v>143</v>
      </c>
      <c r="Q41" s="3187">
        <v>2404.71</v>
      </c>
      <c r="R41" s="3187">
        <v>0</v>
      </c>
      <c r="S41" s="3187" t="s">
        <v>3084</v>
      </c>
      <c r="T41" s="3187" t="s">
        <v>3081</v>
      </c>
    </row>
    <row r="42" spans="1:20" ht="14.25" hidden="1">
      <c r="A42" s="3187" t="s">
        <v>3259</v>
      </c>
      <c r="B42" s="3187" t="s">
        <v>3059</v>
      </c>
      <c r="C42" s="3187" t="s">
        <v>3060</v>
      </c>
      <c r="D42" s="3187" t="s">
        <v>2818</v>
      </c>
      <c r="E42" s="3187" t="s">
        <v>3259</v>
      </c>
      <c r="F42" s="3187" t="s">
        <v>3061</v>
      </c>
      <c r="G42" s="3187" t="s">
        <v>3260</v>
      </c>
      <c r="H42" s="3187" t="s">
        <v>3140</v>
      </c>
      <c r="I42" s="3187">
        <v>20693.04</v>
      </c>
      <c r="J42" s="3187">
        <v>103465.2</v>
      </c>
      <c r="K42" s="3187" t="s">
        <v>3261</v>
      </c>
      <c r="L42" s="3187" t="s">
        <v>3262</v>
      </c>
      <c r="M42" s="3187" t="s">
        <v>2818</v>
      </c>
      <c r="N42" s="3187" t="s">
        <v>3263</v>
      </c>
      <c r="O42" s="3187">
        <v>4655.93</v>
      </c>
      <c r="P42" s="3187">
        <v>150</v>
      </c>
      <c r="Q42" s="3187">
        <v>450</v>
      </c>
      <c r="R42" s="3187">
        <v>0</v>
      </c>
      <c r="S42" s="3187" t="s">
        <v>3125</v>
      </c>
      <c r="T42" s="3187" t="s">
        <v>3081</v>
      </c>
    </row>
    <row r="43" spans="1:20" ht="14.25" hidden="1">
      <c r="A43" s="3187" t="s">
        <v>3264</v>
      </c>
      <c r="B43" s="3187" t="s">
        <v>3059</v>
      </c>
      <c r="C43" s="3187" t="s">
        <v>3060</v>
      </c>
      <c r="D43" s="3187" t="s">
        <v>2818</v>
      </c>
      <c r="E43" s="3187" t="s">
        <v>3265</v>
      </c>
      <c r="F43" s="3187" t="s">
        <v>3061</v>
      </c>
      <c r="G43" s="3187" t="s">
        <v>3266</v>
      </c>
      <c r="H43" s="3187" t="s">
        <v>3267</v>
      </c>
      <c r="I43" s="3187">
        <v>15279.74</v>
      </c>
      <c r="J43" s="3187">
        <v>61118.96</v>
      </c>
      <c r="K43" s="3187" t="s">
        <v>3268</v>
      </c>
      <c r="L43" s="3187" t="s">
        <v>3269</v>
      </c>
      <c r="M43" s="3187" t="s">
        <v>2818</v>
      </c>
      <c r="N43" s="3187" t="s">
        <v>3270</v>
      </c>
      <c r="O43" s="3187">
        <v>7196.75</v>
      </c>
      <c r="P43" s="3187">
        <v>314</v>
      </c>
      <c r="Q43" s="3187">
        <v>1177.5</v>
      </c>
      <c r="R43" s="3187">
        <v>57</v>
      </c>
      <c r="S43" s="3187" t="s">
        <v>3271</v>
      </c>
      <c r="T43" s="3187" t="s">
        <v>3081</v>
      </c>
    </row>
    <row r="44" spans="1:20" ht="14.25" hidden="1">
      <c r="A44" s="3187" t="s">
        <v>3272</v>
      </c>
      <c r="B44" s="3187" t="s">
        <v>3059</v>
      </c>
      <c r="C44" s="3187" t="s">
        <v>3060</v>
      </c>
      <c r="D44" s="3187" t="s">
        <v>2818</v>
      </c>
      <c r="E44" s="3187" t="s">
        <v>3273</v>
      </c>
      <c r="F44" s="3187" t="s">
        <v>3061</v>
      </c>
      <c r="G44" s="3187" t="s">
        <v>3274</v>
      </c>
      <c r="H44" s="3187" t="s">
        <v>3275</v>
      </c>
      <c r="I44" s="3187">
        <v>36815.47</v>
      </c>
      <c r="J44" s="3187">
        <v>147261.9</v>
      </c>
      <c r="K44" s="3187" t="s">
        <v>3109</v>
      </c>
      <c r="L44" s="3187" t="s">
        <v>3276</v>
      </c>
      <c r="M44" s="3187" t="s">
        <v>2818</v>
      </c>
      <c r="N44" s="3187" t="s">
        <v>3277</v>
      </c>
      <c r="O44" s="3187">
        <v>3755.15</v>
      </c>
      <c r="P44" s="3187">
        <v>68</v>
      </c>
      <c r="Q44" s="3187">
        <v>255</v>
      </c>
      <c r="R44" s="3187">
        <v>0</v>
      </c>
      <c r="S44" s="3187" t="s">
        <v>3125</v>
      </c>
      <c r="T44" s="3187" t="s">
        <v>3081</v>
      </c>
    </row>
    <row r="45" spans="1:20" ht="14.25" hidden="1">
      <c r="A45" s="3187" t="s">
        <v>3278</v>
      </c>
      <c r="B45" s="3187" t="s">
        <v>3059</v>
      </c>
      <c r="C45" s="3187" t="s">
        <v>3060</v>
      </c>
      <c r="D45" s="3187" t="s">
        <v>2818</v>
      </c>
      <c r="E45" s="3187" t="s">
        <v>3279</v>
      </c>
      <c r="F45" s="3187" t="s">
        <v>3061</v>
      </c>
      <c r="G45" s="3187" t="s">
        <v>3280</v>
      </c>
      <c r="H45" s="3187" t="s">
        <v>3140</v>
      </c>
      <c r="I45" s="3187">
        <v>12647.34</v>
      </c>
      <c r="J45" s="3187">
        <v>37942.019999999997</v>
      </c>
      <c r="K45" s="3187" t="s">
        <v>3134</v>
      </c>
      <c r="L45" s="3187" t="s">
        <v>3276</v>
      </c>
      <c r="M45" s="3187" t="s">
        <v>2818</v>
      </c>
      <c r="N45" s="3187" t="s">
        <v>3281</v>
      </c>
      <c r="O45" s="3187">
        <v>891.63</v>
      </c>
      <c r="P45" s="3187">
        <v>47</v>
      </c>
      <c r="Q45" s="3187">
        <v>235</v>
      </c>
      <c r="R45" s="3187" t="s">
        <v>2818</v>
      </c>
      <c r="S45" s="3187" t="s">
        <v>3125</v>
      </c>
      <c r="T45" s="3187" t="s">
        <v>3205</v>
      </c>
    </row>
    <row r="46" spans="1:20" ht="14.25" hidden="1">
      <c r="A46" s="3187" t="s">
        <v>3282</v>
      </c>
      <c r="B46" s="3187" t="s">
        <v>3059</v>
      </c>
      <c r="C46" s="3187" t="s">
        <v>3060</v>
      </c>
      <c r="D46" s="3187" t="s">
        <v>2818</v>
      </c>
      <c r="E46" s="3187" t="s">
        <v>3282</v>
      </c>
      <c r="F46" s="3187" t="s">
        <v>3242</v>
      </c>
      <c r="G46" s="3187" t="s">
        <v>3283</v>
      </c>
      <c r="H46" s="3187" t="s">
        <v>3004</v>
      </c>
      <c r="I46" s="3187">
        <v>79999.94</v>
      </c>
      <c r="J46" s="3187">
        <v>239999.8</v>
      </c>
      <c r="K46" s="3187">
        <v>4</v>
      </c>
      <c r="L46" s="3187" t="s">
        <v>3284</v>
      </c>
      <c r="M46" s="3187" t="s">
        <v>2818</v>
      </c>
      <c r="N46" s="3187" t="s">
        <v>3285</v>
      </c>
      <c r="O46" s="3187">
        <v>7200</v>
      </c>
      <c r="P46" s="3187">
        <v>60</v>
      </c>
      <c r="Q46" s="3187">
        <v>300</v>
      </c>
      <c r="R46" s="3187" t="s">
        <v>2818</v>
      </c>
      <c r="S46" s="3187" t="s">
        <v>3286</v>
      </c>
      <c r="T46" s="3187" t="s">
        <v>3205</v>
      </c>
    </row>
    <row r="47" spans="1:20" ht="14.25" hidden="1">
      <c r="A47" s="3187" t="s">
        <v>3287</v>
      </c>
      <c r="B47" s="3187" t="s">
        <v>3059</v>
      </c>
      <c r="C47" s="3187" t="s">
        <v>3060</v>
      </c>
      <c r="D47" s="3187" t="s">
        <v>2818</v>
      </c>
      <c r="E47" s="3187" t="s">
        <v>3287</v>
      </c>
      <c r="F47" s="3187" t="s">
        <v>3242</v>
      </c>
      <c r="G47" s="3187" t="s">
        <v>3288</v>
      </c>
      <c r="H47" s="3187" t="s">
        <v>3004</v>
      </c>
      <c r="I47" s="3187">
        <v>2176</v>
      </c>
      <c r="J47" s="3187">
        <v>6288.64</v>
      </c>
      <c r="K47" s="3187" t="s">
        <v>3289</v>
      </c>
      <c r="L47" s="3187" t="s">
        <v>3290</v>
      </c>
      <c r="M47" s="3187" t="s">
        <v>2818</v>
      </c>
      <c r="N47" s="3187" t="s">
        <v>3291</v>
      </c>
      <c r="O47" s="3187">
        <v>424.31</v>
      </c>
      <c r="P47" s="3187">
        <v>130</v>
      </c>
      <c r="Q47" s="3187">
        <v>674.74</v>
      </c>
      <c r="R47" s="3187">
        <v>100</v>
      </c>
      <c r="S47" s="3187" t="s">
        <v>3173</v>
      </c>
      <c r="T47" s="3187" t="s">
        <v>3205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2038</v>
      </c>
      <c r="B1" s="3200"/>
      <c r="C1" s="3200"/>
      <c r="D1" s="3200"/>
      <c r="E1" s="3200"/>
      <c r="F1" s="3200"/>
      <c r="G1" s="3200"/>
      <c r="H1" s="3200"/>
      <c r="I1" s="3200"/>
      <c r="J1" s="3200"/>
      <c r="K1" s="3200"/>
      <c r="L1" s="3200"/>
      <c r="M1" s="3200"/>
      <c r="N1" s="3200"/>
      <c r="O1" s="3200"/>
      <c r="P1" s="3200"/>
      <c r="Q1" s="3200"/>
      <c r="R1" s="3200"/>
    </row>
    <row r="2" spans="1:18">
      <c r="A2" s="1793" t="s">
        <v>2040</v>
      </c>
      <c r="B2" s="1793"/>
      <c r="C2" s="1793"/>
      <c r="D2" s="1793"/>
      <c r="E2" s="1793"/>
      <c r="F2" s="1793"/>
      <c r="G2" s="1793"/>
      <c r="H2" s="1793"/>
      <c r="I2" s="1794"/>
      <c r="J2" s="1794"/>
      <c r="K2" s="1795" t="str">
        <f>"估价期日："&amp;TEXT(项目基本情况!D3,"yyyy年m月d日;;")</f>
        <v>估价期日：2019年5月14日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1" t="s">
        <v>2029</v>
      </c>
      <c r="B3" s="3201" t="s">
        <v>2731</v>
      </c>
      <c r="C3" s="3202" t="s">
        <v>2030</v>
      </c>
      <c r="D3" s="3201" t="s">
        <v>2735</v>
      </c>
      <c r="E3" s="3204" t="s">
        <v>2031</v>
      </c>
      <c r="F3" s="3204"/>
      <c r="G3" s="3204"/>
      <c r="H3" s="3204" t="s">
        <v>2032</v>
      </c>
      <c r="I3" s="3204"/>
      <c r="J3" s="3204"/>
      <c r="K3" s="3202" t="s">
        <v>2033</v>
      </c>
      <c r="L3" s="3202" t="s">
        <v>2034</v>
      </c>
      <c r="M3" s="3201" t="s">
        <v>2732</v>
      </c>
      <c r="N3" s="3203" t="str">
        <f>"（分摊）"&amp;项目基本情况!B16&amp;"国有建设用地使用权面积/㎡"</f>
        <v>（分摊）出让国有建设用地使用权面积/㎡</v>
      </c>
      <c r="O3" s="3201" t="s">
        <v>2063</v>
      </c>
      <c r="P3" s="3202" t="s">
        <v>2043</v>
      </c>
      <c r="Q3" s="3202" t="s">
        <v>2064</v>
      </c>
      <c r="R3" s="3202" t="s">
        <v>2035</v>
      </c>
    </row>
    <row r="4" spans="1:18" ht="36.75" customHeight="1">
      <c r="A4" s="3201"/>
      <c r="B4" s="3201"/>
      <c r="C4" s="3202"/>
      <c r="D4" s="3201"/>
      <c r="E4" s="2611" t="s">
        <v>2042</v>
      </c>
      <c r="F4" s="2611" t="s">
        <v>2744</v>
      </c>
      <c r="G4" s="2611" t="s">
        <v>2036</v>
      </c>
      <c r="H4" s="2611" t="s">
        <v>2037</v>
      </c>
      <c r="I4" s="2611" t="s">
        <v>2745</v>
      </c>
      <c r="J4" s="2611" t="s">
        <v>2036</v>
      </c>
      <c r="K4" s="3202"/>
      <c r="L4" s="3202"/>
      <c r="M4" s="3201"/>
      <c r="N4" s="3203"/>
      <c r="O4" s="3201"/>
      <c r="P4" s="3202"/>
      <c r="Q4" s="3202"/>
      <c r="R4" s="3202"/>
    </row>
    <row r="5" spans="1:18" ht="135" customHeight="1">
      <c r="A5" s="1929" t="s">
        <v>2655</v>
      </c>
      <c r="B5" s="2820" t="s">
        <v>2653</v>
      </c>
      <c r="C5" s="2610">
        <v>22</v>
      </c>
      <c r="D5" s="2609" t="s">
        <v>2654</v>
      </c>
      <c r="E5" s="1796" t="str">
        <f>项目基本情况!B12</f>
        <v>批发零售用地</v>
      </c>
      <c r="F5" s="2609">
        <v>258</v>
      </c>
      <c r="G5" s="1796" t="str">
        <f>项目基本情况!B13</f>
        <v>商业</v>
      </c>
      <c r="H5" s="2609">
        <v>1.5</v>
      </c>
      <c r="I5" s="2609">
        <v>1.5</v>
      </c>
      <c r="J5" s="2609">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43369.49</v>
      </c>
      <c r="O5" s="1796">
        <f>项目基本情况!C21</f>
        <v>86738.98</v>
      </c>
      <c r="P5" s="1796">
        <f ca="1">结果表!E42</f>
        <v>6185</v>
      </c>
      <c r="Q5" s="1796">
        <f ca="1">结果表!D42</f>
        <v>3092</v>
      </c>
      <c r="R5" s="1797">
        <f ca="1">结果表!C42</f>
        <v>26824</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798">
        <f ca="1">结果表!O39</f>
        <v>26824</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798"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5" t="s">
        <v>2065</v>
      </c>
      <c r="B1" s="3205"/>
      <c r="C1" s="3205"/>
      <c r="D1" s="3205"/>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8" t="s">
        <v>2066</v>
      </c>
      <c r="B5" s="3208"/>
      <c r="C5" s="3208"/>
      <c r="D5" s="3208"/>
    </row>
    <row r="6" spans="1:4">
      <c r="A6" s="3205" t="s">
        <v>2044</v>
      </c>
      <c r="B6" s="3205"/>
      <c r="C6" s="3205"/>
      <c r="D6" s="3205"/>
    </row>
    <row r="7" spans="1:4" ht="33" customHeight="1">
      <c r="A7" s="3205" t="s">
        <v>2575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8" t="s">
        <v>2068</v>
      </c>
      <c r="B12" s="3208"/>
      <c r="C12" s="3208"/>
      <c r="D12" s="3208"/>
    </row>
    <row r="13" spans="1:4">
      <c r="A13" s="3206" t="s">
        <v>2746</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2702</v>
      </c>
      <c r="B17" s="3205"/>
      <c r="C17" s="3205"/>
      <c r="D17" s="3205"/>
    </row>
    <row r="18" spans="1:4">
      <c r="A18" s="3205" t="s">
        <v>2694</v>
      </c>
      <c r="B18" s="3205"/>
      <c r="C18" s="3205"/>
      <c r="D18" s="3205"/>
    </row>
    <row r="19" spans="1:4">
      <c r="A19" s="2821" t="s">
        <v>2695</v>
      </c>
      <c r="B19" s="2821" t="s">
        <v>2696</v>
      </c>
      <c r="C19" s="2821" t="s">
        <v>2697</v>
      </c>
      <c r="D19" s="2821" t="s">
        <v>2698</v>
      </c>
    </row>
    <row r="20" spans="1:4">
      <c r="A20" s="2821" t="str">
        <f>项目基本情况!B4</f>
        <v>王鹏</v>
      </c>
      <c r="B20" s="2821">
        <f ca="1">项目基本情况!C4</f>
        <v>2002110030</v>
      </c>
      <c r="C20" s="2823"/>
      <c r="D20" s="1786" t="s">
        <v>2703</v>
      </c>
    </row>
    <row r="21" spans="1:4">
      <c r="A21" s="2821" t="str">
        <f>项目基本情况!D4</f>
        <v>郑燚</v>
      </c>
      <c r="B21" s="2821">
        <f ca="1">项目基本情况!E4</f>
        <v>2014110011</v>
      </c>
      <c r="C21" s="2823"/>
      <c r="D21" s="1786" t="s">
        <v>2704</v>
      </c>
    </row>
    <row r="23" spans="1:4">
      <c r="A23" s="3205" t="s">
        <v>2699</v>
      </c>
      <c r="B23" s="3205"/>
      <c r="C23" s="3205"/>
      <c r="D23" s="3205"/>
    </row>
    <row r="24" spans="1:4">
      <c r="A24" s="2821" t="s">
        <v>2695</v>
      </c>
      <c r="B24" s="2821" t="s">
        <v>2700</v>
      </c>
      <c r="C24" s="2821" t="s">
        <v>2697</v>
      </c>
      <c r="D24" s="2821" t="s">
        <v>2698</v>
      </c>
    </row>
    <row r="25" spans="1:4">
      <c r="A25" s="2824" t="s">
        <v>2701</v>
      </c>
      <c r="B25" s="2821" t="s">
        <v>952</v>
      </c>
      <c r="C25" s="2823"/>
      <c r="D25" s="1786" t="s">
        <v>2704</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7" t="s">
        <v>53</v>
      </c>
      <c r="B15" s="3218" t="s">
        <v>846</v>
      </c>
      <c r="C15" s="3214"/>
    </row>
    <row r="16" spans="1:7" ht="14.25">
      <c r="A16" s="3217"/>
      <c r="B16" s="3215" t="s">
        <v>54</v>
      </c>
      <c r="C16" s="1168" t="s">
        <v>53</v>
      </c>
    </row>
    <row r="17" spans="1:3" ht="14.25">
      <c r="A17" s="3217"/>
      <c r="B17" s="3215"/>
      <c r="C17" s="1168" t="s">
        <v>55</v>
      </c>
    </row>
    <row r="18" spans="1:3" ht="14.25">
      <c r="A18" s="3217"/>
      <c r="B18" s="3215"/>
      <c r="C18" s="1168" t="s">
        <v>56</v>
      </c>
    </row>
    <row r="19" spans="1:3" ht="14.25">
      <c r="A19" s="3217"/>
      <c r="B19" s="3213" t="s">
        <v>57</v>
      </c>
      <c r="C19" s="3214"/>
    </row>
    <row r="20" spans="1:3" ht="14.25">
      <c r="A20" s="1169" t="s">
        <v>58</v>
      </c>
      <c r="B20" s="1170"/>
      <c r="C20" s="1171"/>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2" t="s">
        <v>837</v>
      </c>
    </row>
    <row r="25" spans="1:3" ht="14.25">
      <c r="A25" s="3216"/>
      <c r="B25" s="3220"/>
      <c r="C25" s="1172" t="s">
        <v>838</v>
      </c>
    </row>
    <row r="26" spans="1:3" ht="14.25">
      <c r="A26" s="3216"/>
      <c r="B26" s="3220"/>
      <c r="C26" s="1172" t="s">
        <v>839</v>
      </c>
    </row>
    <row r="27" spans="1:3" ht="14.25">
      <c r="A27" s="3216"/>
      <c r="B27" s="3220"/>
      <c r="C27" s="1172" t="s">
        <v>840</v>
      </c>
    </row>
    <row r="28" spans="1:3" ht="14.25">
      <c r="A28" s="3216"/>
      <c r="B28" s="3220"/>
      <c r="C28" s="1172" t="s">
        <v>841</v>
      </c>
    </row>
    <row r="29" spans="1:3" ht="14.25">
      <c r="A29" s="3216"/>
      <c r="B29" s="3220"/>
      <c r="C29" s="1172" t="s">
        <v>842</v>
      </c>
    </row>
    <row r="30" spans="1:3" ht="14.25">
      <c r="A30" s="3216"/>
      <c r="B30" s="3220"/>
      <c r="C30" s="1172" t="s">
        <v>843</v>
      </c>
    </row>
    <row r="31" spans="1:3" ht="14.25">
      <c r="A31" s="3216"/>
      <c r="B31" s="3220"/>
      <c r="C31" s="1172" t="s">
        <v>844</v>
      </c>
    </row>
    <row r="32" spans="1:3" ht="14.25">
      <c r="A32" s="3216"/>
      <c r="B32" s="3220"/>
      <c r="C32" s="1172" t="s">
        <v>1646</v>
      </c>
    </row>
    <row r="33" spans="1:3" ht="14.25">
      <c r="A33" s="3216"/>
      <c r="B33" s="3210" t="s">
        <v>1652</v>
      </c>
      <c r="C33" s="1172" t="s">
        <v>1647</v>
      </c>
    </row>
    <row r="34" spans="1:3" ht="14.25">
      <c r="A34" s="3216"/>
      <c r="B34" s="3211"/>
      <c r="C34" s="1177" t="s">
        <v>1648</v>
      </c>
    </row>
    <row r="35" spans="1:3" ht="14.25">
      <c r="A35" s="3216"/>
      <c r="B35" s="3211"/>
      <c r="C35" s="1178" t="s">
        <v>1649</v>
      </c>
    </row>
    <row r="36" spans="1:3" ht="14.25">
      <c r="A36" s="3216"/>
      <c r="B36" s="3211"/>
      <c r="C36" s="1178" t="s">
        <v>1650</v>
      </c>
    </row>
    <row r="37" spans="1:3" ht="14.25">
      <c r="A37" s="3216"/>
      <c r="B37" s="321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43605</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t="str">
        <f ca="1">IF(C10&lt;B2,"已过期",1120060040)</f>
        <v>已过期</v>
      </c>
      <c r="C10" s="3132">
        <v>43483</v>
      </c>
      <c r="D10" s="3130" t="s">
        <v>1920</v>
      </c>
      <c r="E10" s="3130">
        <f ca="1">IF(F10&lt;B2,"已过期",2004110096)</f>
        <v>2004110096</v>
      </c>
      <c r="F10" s="3133">
        <v>47118</v>
      </c>
    </row>
    <row r="11" spans="1:6" ht="20.25" customHeight="1">
      <c r="A11" s="3130" t="s">
        <v>1921</v>
      </c>
      <c r="B11" s="3130">
        <f ca="1">IF(C11&lt;B2,"已过期",1120100036)</f>
        <v>1120100036</v>
      </c>
      <c r="C11" s="3132">
        <v>43622</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2574</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1" t="s">
        <v>1926</v>
      </c>
      <c r="B25" s="3221"/>
      <c r="C25" s="3221"/>
      <c r="D25" s="3221"/>
      <c r="E25" s="3221"/>
      <c r="F25" s="3221"/>
      <c r="G25" s="3221"/>
    </row>
    <row r="26" spans="1:7" ht="20.25" customHeight="1">
      <c r="A26" s="3222" t="s">
        <v>1927</v>
      </c>
      <c r="B26" s="3222"/>
      <c r="C26" s="3222"/>
      <c r="D26" s="3222" t="s">
        <v>1928</v>
      </c>
      <c r="E26" s="3222"/>
      <c r="F26" s="3222"/>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4" t="s">
        <v>2942</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2954</v>
      </c>
      <c r="C18" s="1541"/>
    </row>
    <row r="19" spans="1:3">
      <c r="A19" s="8" t="s">
        <v>120</v>
      </c>
      <c r="B19" s="3062" t="s">
        <v>2962</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集装箱物流投资开发有限公司拟使用四川省成都市青白江区景鸿路以东、绣川河以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3"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14日，在规划利用条件下、设定土地开发程度为红线外“七通”、宗地内场地，设定用途为商业，剩余土地使用年限为的出让国有建设用地使用权价格。</v>
      </c>
      <c r="D53" s="1753"/>
      <c r="E53" s="1753"/>
    </row>
    <row r="54" spans="1:5">
      <c r="A54" s="3223"/>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3"/>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3"/>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3"/>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不动产权证登记信息</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2019-05-20T09:47:16Z</dcterms:modified>
</cp:coreProperties>
</file>