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收益法商业" sheetId="83" state="hidden" r:id="rId20"/>
    <sheet name="成本法" sheetId="68" r:id="rId21"/>
    <sheet name="成本法 (元)" sheetId="69" state="hidden" r:id="rId22"/>
    <sheet name="基准地价修正办公" sheetId="43" r:id="rId23"/>
    <sheet name="基准地价修正商业" sheetId="88" r:id="rId24"/>
    <sheet name="修正" sheetId="45" state="hidden" r:id="rId25"/>
    <sheet name="假设开发法" sheetId="12" r:id="rId26"/>
    <sheet name="基准地价修正 (2)" sheetId="80" state="hidden" r:id="rId27"/>
    <sheet name="收益法 (元)" sheetId="67" state="hidden" r:id="rId28"/>
    <sheet name="收益法（汇总）" sheetId="70" state="hidden" r:id="rId29"/>
    <sheet name="酒店收入计算" sheetId="66" state="hidden" r:id="rId30"/>
    <sheet name="收益法办公" sheetId="82" r:id="rId31"/>
    <sheet name="比较法-办公 (租金)" sheetId="87" r:id="rId32"/>
    <sheet name="比较法-商业" sheetId="33" r:id="rId33"/>
    <sheet name="比较法-办公" sheetId="34"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收益法仓储" sheetId="15" r:id="rId40"/>
    <sheet name="比较法-仓储" sheetId="36" state="hidden" r:id="rId41"/>
    <sheet name="土地比较法-住宅、综合" sheetId="39" state="hidden" r:id="rId42"/>
    <sheet name="土地比较法-工业" sheetId="40"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面积表" sheetId="81" r:id="rId53"/>
    <sheet name="案例" sheetId="86" r:id="rId54"/>
  </sheets>
  <externalReferences>
    <externalReference r:id="rId55"/>
    <externalReference r:id="rId56"/>
  </externalReferences>
  <definedNames>
    <definedName name="_xlnm._FilterDatabase" localSheetId="33" hidden="1">'比较法-办公'!$A$1:$L$50</definedName>
    <definedName name="_xlnm._FilterDatabase" localSheetId="31" hidden="1">'比较法-办公 (租金)'!$A$1:$L$50</definedName>
    <definedName name="_xlnm._FilterDatabase" localSheetId="40"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32" hidden="1">'比较法-商业'!$A$1:$L$49</definedName>
    <definedName name="_xlnm._FilterDatabase" localSheetId="18"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30">收益法办公!$A$1:$AK$69</definedName>
    <definedName name="_xlnm.Print_Area" localSheetId="39">收益法仓储!$A$1:$AK$69</definedName>
    <definedName name="_xlnm.Print_Area" localSheetId="38">'收益法-车库'!$A$1:$AK$69</definedName>
    <definedName name="_xlnm.Print_Area" localSheetId="36">'收益法-联排'!$A$1:$AK$69</definedName>
    <definedName name="_xlnm.Print_Area" localSheetId="19">收益法商业!$A$1:$AK$69</definedName>
    <definedName name="_xlnm.Print_Area" localSheetId="13">'数据-汇总表'!$A$1:$P$32</definedName>
    <definedName name="八级">区片价!$O$1:$O$40</definedName>
    <definedName name="办公层高" localSheetId="31">'比较法-办公 (租金)'!$B$119:$M$119</definedName>
    <definedName name="办公层高" localSheetId="26">'比较法-办公 (租金)'!$B$119:$M$119</definedName>
    <definedName name="办公层高">'比较法-办公'!$B$119:$M$119</definedName>
    <definedName name="办公朝向" localSheetId="31">'比较法-办公 (租金)'!$B$91:$M$91</definedName>
    <definedName name="办公朝向" localSheetId="26">'比较法-办公 (租金)'!$B$91:$M$91</definedName>
    <definedName name="办公朝向">'比较法-办公'!$B$91:$M$91</definedName>
    <definedName name="办公道路级别" localSheetId="31">'比较法-办公 (租金)'!$B$87:$M$87</definedName>
    <definedName name="办公道路级别" localSheetId="26">'比较法-办公 (租金)'!$B$87:$M$87</definedName>
    <definedName name="办公道路级别">'比较法-办公'!$B$87:$M$87</definedName>
    <definedName name="办公公共部分装修" localSheetId="31">'比较法-办公 (租金)'!$B$108:$M$108</definedName>
    <definedName name="办公公共部分装修" localSheetId="26">'比较法-办公 (租金)'!$B$108:$M$108</definedName>
    <definedName name="办公公共部分装修">'比较法-办公'!$B$108:$M$108</definedName>
    <definedName name="办公基础设施水平" localSheetId="31">'比较法-办公 (租金)'!$B$117:$M$117</definedName>
    <definedName name="办公基础设施水平" localSheetId="26">'比较法-办公 (租金)'!$B$117:$M$117</definedName>
    <definedName name="办公基础设施水平">'比较法-办公'!$B$117:$M$117</definedName>
    <definedName name="办公集聚程度" localSheetId="31">[1]定义!$M$1:$M$6</definedName>
    <definedName name="办公集聚程度" localSheetId="26">[1]定义!$M$1:$M$6</definedName>
    <definedName name="办公集聚程度">定义!$M$1:$M$6</definedName>
    <definedName name="办公建筑结构" localSheetId="31">'比较法-办公 (租金)'!$B$106:$M$106</definedName>
    <definedName name="办公建筑结构" localSheetId="26">'比较法-办公 (租金)'!$B$106:$M$106</definedName>
    <definedName name="办公建筑结构">'比较法-办公'!$B$106:$M$106</definedName>
    <definedName name="办公建筑类型" localSheetId="31">'比较法-办公 (租金)'!$B$101:$M$101</definedName>
    <definedName name="办公建筑类型" localSheetId="26">'比较法-办公 (租金)'!$B$101:$M$101</definedName>
    <definedName name="办公建筑类型">'比较法-办公'!$B$101:$M$101</definedName>
    <definedName name="办公交易情况" localSheetId="31">'比较法-办公 (租金)'!$A$62:$M$62</definedName>
    <definedName name="办公交易情况" localSheetId="26">'比较法-办公 (租金)'!$A$62:$M$62</definedName>
    <definedName name="办公交易情况">'比较法-办公'!$A$62:$M$62</definedName>
    <definedName name="办公楼层" localSheetId="31">'比较法-办公 (租金)'!$B$89:$M$89</definedName>
    <definedName name="办公楼层" localSheetId="26">'比较法-办公 (租金)'!$B$89:$M$89</definedName>
    <definedName name="办公楼层">'比较法-办公'!$B$89:$M$89</definedName>
    <definedName name="办公内部装修" localSheetId="31">'比较法-办公 (租金)'!$B$123:$M$123</definedName>
    <definedName name="办公内部装修" localSheetId="26">'比较法-办公 (租金)'!$B$123:$M$123</definedName>
    <definedName name="办公内部装修">'比较法-办公'!$B$123:$M$123</definedName>
    <definedName name="办公物业管理" localSheetId="31">'比较法-办公 (租金)'!$B$115:$M$115</definedName>
    <definedName name="办公物业管理" localSheetId="26">'比较法-办公 (租金)'!$B$115:$M$115</definedName>
    <definedName name="办公物业管理">'比较法-办公'!$B$115:$M$115</definedName>
    <definedName name="办公用途" localSheetId="31">'比较法-办公 (租金)'!$B$64:$M$64</definedName>
    <definedName name="办公用途" localSheetId="26">'比较法-办公 (租金)'!$B$64:$M$64</definedName>
    <definedName name="办公用途">'比较法-办公'!$B$64:$M$64</definedName>
    <definedName name="仓储公共部分装修" localSheetId="31">'[1]比较法-仓储'!$B$77:$M$77</definedName>
    <definedName name="仓储公共部分装修" localSheetId="26">'[1]比较法-仓储'!$B$77:$M$77</definedName>
    <definedName name="仓储公共部分装修">'比较法-仓储'!$B$77:$M$77</definedName>
    <definedName name="仓储交易情况" localSheetId="31">'[1]比较法-仓储'!$A$49:$M$49</definedName>
    <definedName name="仓储交易情况" localSheetId="26">'[1]比较法-仓储'!$A$49:$M$49</definedName>
    <definedName name="仓储交易情况">'比较法-仓储'!$A$49:$M$49</definedName>
    <definedName name="仓储楼层" localSheetId="31">'[1]比较法-仓储'!$B$69:$M$69</definedName>
    <definedName name="仓储楼层" localSheetId="26">'[1]比较法-仓储'!$B$69:$M$69</definedName>
    <definedName name="仓储楼层">'比较法-仓储'!$B$69:$M$69</definedName>
    <definedName name="仓储物业等级" localSheetId="31">'[1]比较法-仓储'!$B$82:$M$82</definedName>
    <definedName name="仓储物业等级" localSheetId="26">'[1]比较法-仓储'!$B$82:$M$82</definedName>
    <definedName name="仓储物业等级">'比较法-仓储'!$B$82:$M$82</definedName>
    <definedName name="仓储用途" localSheetId="31">'[1]比较法-仓储'!$B$51:$M$51</definedName>
    <definedName name="仓储用途" localSheetId="26">'[1]比较法-仓储'!$B$51:$M$51</definedName>
    <definedName name="仓储用途">'比较法-仓储'!$B$51:$M$51</definedName>
    <definedName name="产业集聚程度" localSheetId="31">[1]定义!$N$1:$N$6</definedName>
    <definedName name="产业集聚程度" localSheetId="26">[1]定义!$N$1:$N$6</definedName>
    <definedName name="产业集聚程度">定义!$N$1:$N$6</definedName>
    <definedName name="车位公共部分装修" localSheetId="31">'[1]比较法-车位'!$B$83:$M$83</definedName>
    <definedName name="车位公共部分装修" localSheetId="26">'[1]比较法-车位'!$B$83:$M$83</definedName>
    <definedName name="车位公共部分装修">'比较法-车位'!$B$83:$M$83</definedName>
    <definedName name="车位交易情况" localSheetId="31">'[1]比较法-车位'!$A$51:$M$51</definedName>
    <definedName name="车位交易情况" localSheetId="26">'[1]比较法-车位'!$A$51:$M$51</definedName>
    <definedName name="车位交易情况">'比较法-车位'!$A$51:$M$51</definedName>
    <definedName name="车位类型" localSheetId="31">'[1]比较法-车位'!$B$93:$M$93</definedName>
    <definedName name="车位类型" localSheetId="26">'[1]比较法-车位'!$B$93:$M$93</definedName>
    <definedName name="车位类型">'比较法-车位'!$B$93:$M$93</definedName>
    <definedName name="车位楼层" localSheetId="31">'[1]比较法-车位'!$B$71:$M$71</definedName>
    <definedName name="车位楼层" localSheetId="26">'[1]比较法-车位'!$B$71:$M$71</definedName>
    <definedName name="车位楼层">'比较法-车位'!$B$71:$M$71</definedName>
    <definedName name="车位配套类型" localSheetId="31">'[1]比较法-车位'!$B$79:$M$79</definedName>
    <definedName name="车位配套类型" localSheetId="26">'[1]比较法-车位'!$B$79:$M$79</definedName>
    <definedName name="车位配套类型">'比较法-车位'!$B$79:$M$79</definedName>
    <definedName name="车位物业等级" localSheetId="31">'[1]比较法-车位'!$B$88:$M$88</definedName>
    <definedName name="车位物业等级" localSheetId="26">'[1]比较法-车位'!$B$88:$M$88</definedName>
    <definedName name="车位物业等级">'比较法-车位'!$B$88:$M$88</definedName>
    <definedName name="车位用途" localSheetId="31">'[1]比较法-车位'!$B$53:$M$53</definedName>
    <definedName name="车位用途" localSheetId="26">'[1]比较法-车位'!$B$53:$M$53</definedName>
    <definedName name="车位用途">'比较法-车位'!$B$53:$M$53</definedName>
    <definedName name="城镇土地纳税等级分级范围" localSheetId="31">'[1]数据-取费表'!$A$53:$A$63</definedName>
    <definedName name="城镇土地纳税等级分级范围" localSheetId="26">'[1]数据-取费表'!$A$53:$A$63</definedName>
    <definedName name="城镇土地纳税等级分级范围">'数据-取费表'!$A$53:$A$63</definedName>
    <definedName name="单价内涵" localSheetId="31">[1]定义!$V$1:$V$3</definedName>
    <definedName name="单价内涵" localSheetId="26">[1]定义!$V$1:$V$3</definedName>
    <definedName name="单价内涵">定义!$V$1:$V$3</definedName>
    <definedName name="地类判定" localSheetId="31">[1]定义!$H$1:$H$9</definedName>
    <definedName name="地类判定" localSheetId="26">[1]定义!$H$1:$H$9</definedName>
    <definedName name="地类判定">定义!$H$1:$H$9</definedName>
    <definedName name="二级">区片价!$I$1:$I$20</definedName>
    <definedName name="二级分类" localSheetId="31">[1]修正!$C$17:$C$39</definedName>
    <definedName name="二级分类" localSheetId="26">[1]修正!$C$17:$C$39</definedName>
    <definedName name="二级分类">修正!$C$17:$C$39</definedName>
    <definedName name="法定最高年限" localSheetId="31">[1]定义!$G$1:$G$4</definedName>
    <definedName name="法定最高年限" localSheetId="26">[1]定义!$G$1:$G$4</definedName>
    <definedName name="法定最高年限">定义!$G$1:$G$4</definedName>
    <definedName name="工业公共部分装修" localSheetId="31">'[1]比较法-工业'!$B$95:$M$95</definedName>
    <definedName name="工业公共部分装修" localSheetId="26">'[1]比较法-工业'!$B$95:$M$95</definedName>
    <definedName name="工业公共部分装修">'比较法-工业'!$B$95:$M$95</definedName>
    <definedName name="工业基础设施水平" localSheetId="31">'[1]比较法-工业'!$B$102:$M$102</definedName>
    <definedName name="工业基础设施水平" localSheetId="26">'[1]比较法-工业'!$B$102:$M$102</definedName>
    <definedName name="工业基础设施水平">'比较法-工业'!$B$102:$M$102</definedName>
    <definedName name="工业建筑结构" localSheetId="31">'[1]比较法-工业'!$B$93:$M$93</definedName>
    <definedName name="工业建筑结构" localSheetId="26">'[1]比较法-工业'!$B$93:$M$93</definedName>
    <definedName name="工业建筑结构">'比较法-工业'!$B$93:$M$93</definedName>
    <definedName name="工业建筑类型" localSheetId="31">'[1]比较法-工业'!$B$88:$M$88</definedName>
    <definedName name="工业建筑类型" localSheetId="26">'[1]比较法-工业'!$B$88:$M$88</definedName>
    <definedName name="工业建筑类型">'比较法-工业'!$B$88:$M$88</definedName>
    <definedName name="工业交易情况" localSheetId="31">'[1]比较法-工业'!$A$55:$M$55</definedName>
    <definedName name="工业交易情况" localSheetId="26">'[1]比较法-工业'!$A$55:$M$55</definedName>
    <definedName name="工业交易情况">'比较法-工业'!$A$55:$M$55</definedName>
    <definedName name="工业内部装修" localSheetId="31">'[1]比较法-工业'!$B$104:$M$104</definedName>
    <definedName name="工业内部装修" localSheetId="26">'[1]比较法-工业'!$B$104:$M$104</definedName>
    <definedName name="工业内部装修">'比较法-工业'!$B$104:$M$104</definedName>
    <definedName name="工业物业管理" localSheetId="31">'[1]比较法-工业'!$B$100:$M$100</definedName>
    <definedName name="工业物业管理" localSheetId="26">'[1]比较法-工业'!$B$100:$M$100</definedName>
    <definedName name="工业物业管理">'比较法-工业'!$B$100:$M$100</definedName>
    <definedName name="工业用途" localSheetId="31">'[1]比较法-工业'!$B$57:$M$57</definedName>
    <definedName name="工业用途" localSheetId="26">'[1]比较法-工业'!$B$57:$M$57</definedName>
    <definedName name="工业用途">'比较法-工业'!$B$57:$M$57</definedName>
    <definedName name="公共配套设施" localSheetId="31">[1]定义!$Q$1:$Q$6</definedName>
    <definedName name="公共配套设施" localSheetId="26">[1]定义!$Q$1:$Q$6</definedName>
    <definedName name="公共配套设施">定义!$Q$1:$Q$6</definedName>
    <definedName name="估价方法" localSheetId="31">[1]定义!$B$1:$B$50</definedName>
    <definedName name="估价方法" localSheetId="26">[1]定义!$B$1:$B$50</definedName>
    <definedName name="估价方法">定义!$B$1:$B$50</definedName>
    <definedName name="环境" localSheetId="31">[1]定义!$S$1:$S$6</definedName>
    <definedName name="环境" localSheetId="26">[1]定义!$S$1:$S$6</definedName>
    <definedName name="环境">定义!$S$1:$S$6</definedName>
    <definedName name="基础设施水平" localSheetId="31">[1]定义!$R$1:$R$6</definedName>
    <definedName name="基础设施水平" localSheetId="26">[1]定义!$R$1:$R$6</definedName>
    <definedName name="基础设施水平">定义!$R$1:$R$6</definedName>
    <definedName name="季度" localSheetId="26">'基准地价修正 (2)'!$Q$19:$AD$19</definedName>
    <definedName name="季度" localSheetId="23">基准地价修正商业!$Q$19:$AD$19</definedName>
    <definedName name="季度">基准地价修正办公!$Q$19:$AD$19</definedName>
    <definedName name="价值类型2" localSheetId="31">[1]定义!$B$54:$B$56</definedName>
    <definedName name="价值类型2" localSheetId="26">[1]定义!$B$54:$B$56</definedName>
    <definedName name="价值类型2">定义!$B$54:$B$56</definedName>
    <definedName name="交通便捷度" localSheetId="31">[1]定义!$O$1:$O$6</definedName>
    <definedName name="交通便捷度" localSheetId="26">[1]定义!$O$1:$O$6</definedName>
    <definedName name="交通便捷度">定义!$O$1:$O$6</definedName>
    <definedName name="九级">区片价!$P$1:$P$46</definedName>
    <definedName name="居住社区成熟度" localSheetId="31">[1]定义!$K$1:$K$6</definedName>
    <definedName name="居住社区成熟度" localSheetId="26">[1]定义!$K$1:$K$6</definedName>
    <definedName name="居住社区成熟度">定义!$K$1:$K$6</definedName>
    <definedName name="类别" localSheetId="31">[1]定义!$J$1:$J$3</definedName>
    <definedName name="类别" localSheetId="26">[1]定义!$J$1:$J$3</definedName>
    <definedName name="类别">定义!$J$1:$J$3</definedName>
    <definedName name="临街状况" localSheetId="31">[1]定义!$T$1:$T$5</definedName>
    <definedName name="临街状况" localSheetId="26">[1]定义!$T$1:$T$5</definedName>
    <definedName name="临街状况">定义!$T$1:$T$5</definedName>
    <definedName name="六级">区片价!$M$1:$M$49</definedName>
    <definedName name="内部装修维护情况" localSheetId="31">[1]定义!$U$1:$U$6</definedName>
    <definedName name="内部装修维护情况" localSheetId="26">[1]定义!$U$1:$U$6</definedName>
    <definedName name="内部装修维护情况">定义!$U$1:$U$6</definedName>
    <definedName name="判定" localSheetId="31">[1]定义!$D$1:$D$4</definedName>
    <definedName name="判定" localSheetId="26">[1]定义!$D$1:$D$4</definedName>
    <definedName name="判定">定义!$D$1:$D$4</definedName>
    <definedName name="七级">区片价!$N$1:$N$49</definedName>
    <definedName name="七通一平" localSheetId="31">[1]修正!$A$6:$A$14</definedName>
    <definedName name="七通一平" localSheetId="26">[1]修正!$A$6:$A$14</definedName>
    <definedName name="七通一平">修正!$A$6:$A$14</definedName>
    <definedName name="区域土地利用方向" localSheetId="31">[1]定义!$P$1:$P$6</definedName>
    <definedName name="区域土地利用方向" localSheetId="26">[1]定义!$P$1:$P$6</definedName>
    <definedName name="区域土地利用方向">定义!$P$1:$P$6</definedName>
    <definedName name="三级">区片价!$J$1:$J$21</definedName>
    <definedName name="商业层高" localSheetId="31">'[1]比较法-商业'!$B$116:$M$116</definedName>
    <definedName name="商业层高" localSheetId="26">'[1]比较法-商业'!$B$116:$M$116</definedName>
    <definedName name="商业层高">'比较法-商业'!$B$116:$M$116</definedName>
    <definedName name="商业成新度">'比较法-商业'!$B$109:$M$109</definedName>
    <definedName name="商业繁华度" localSheetId="31">[1]定义!$L$1:$L$6</definedName>
    <definedName name="商业繁华度" localSheetId="26">[1]定义!$L$1:$L$6</definedName>
    <definedName name="商业繁华度">定义!$L$1:$L$6</definedName>
    <definedName name="商业公共部分装修" localSheetId="31">'[1]比较法-商业'!$B$107:$M$107</definedName>
    <definedName name="商业公共部分装修" localSheetId="26">'[1]比较法-商业'!$B$107:$M$107</definedName>
    <definedName name="商业公共部分装修">'比较法-商业'!$B$107:$M$107</definedName>
    <definedName name="商业基础设施水平" localSheetId="31">'[1]比较法-商业'!$B$112:$M$112</definedName>
    <definedName name="商业基础设施水平" localSheetId="26">'[1]比较法-商业'!$B$112:$M$112</definedName>
    <definedName name="商业基础设施水平">'比较法-商业'!$B$112:$M$112</definedName>
    <definedName name="商业建筑结构" localSheetId="31">'[1]比较法-商业'!$B$105:$M$105</definedName>
    <definedName name="商业建筑结构" localSheetId="26">'[1]比较法-商业'!$B$105:$M$105</definedName>
    <definedName name="商业建筑结构">'比较法-商业'!$B$105:$M$105</definedName>
    <definedName name="商业交易情况" localSheetId="31">'[1]比较法-商业'!$A$61:$M$61</definedName>
    <definedName name="商业交易情况" localSheetId="26">'[1]比较法-商业'!$A$61:$M$61</definedName>
    <definedName name="商业交易情况">'比较法-商业'!$A$61:$M$61</definedName>
    <definedName name="商业街名称" localSheetId="31">[1]修正!$C$59:$C$119</definedName>
    <definedName name="商业街名称" localSheetId="26">[1]修正!$C$59:$C$119</definedName>
    <definedName name="商业街名称">修正!$C$59:$C$119</definedName>
    <definedName name="商业进深比" localSheetId="31">'[1]比较法-商业'!$B$120:$M$120</definedName>
    <definedName name="商业进深比" localSheetId="26">'[1]比较法-商业'!$B$120:$M$120</definedName>
    <definedName name="商业进深比">'比较法-商业'!$B$120:$M$120</definedName>
    <definedName name="商业类型" localSheetId="31">'[1]比较法-商业'!$B$100:$M$100</definedName>
    <definedName name="商业类型" localSheetId="26">'[1]比较法-商业'!$B$100:$M$100</definedName>
    <definedName name="商业类型">'比较法-商业'!$B$100:$M$100</definedName>
    <definedName name="商业临街状况" localSheetId="31">'[1]比较法-商业'!$B$86:$M$86</definedName>
    <definedName name="商业临街状况" localSheetId="26">'[1]比较法-商业'!$B$86:$M$86</definedName>
    <definedName name="商业临街状况">'比较法-商业'!$B$86:$M$86</definedName>
    <definedName name="商业楼层" localSheetId="31">'[1]比较法-商业'!$B$92:$M$92</definedName>
    <definedName name="商业楼层" localSheetId="26">'[1]比较法-商业'!$B$92:$M$92</definedName>
    <definedName name="商业楼层">'比较法-商业'!$B$92:$M$92</definedName>
    <definedName name="商业内部装修" localSheetId="31">'[1]比较法-商业'!$B$122:$M$122</definedName>
    <definedName name="商业内部装修" localSheetId="26">'[1]比较法-商业'!$B$122:$M$122</definedName>
    <definedName name="商业内部装修">'比较法-商业'!$B$122:$M$122</definedName>
    <definedName name="商业人流量" localSheetId="31">'[1]比较法-商业'!$B$90:$M$90</definedName>
    <definedName name="商业人流量" localSheetId="26">'[1]比较法-商业'!$B$90:$M$90</definedName>
    <definedName name="商业人流量">'比较法-商业'!$B$90:$M$90</definedName>
    <definedName name="商业业态" localSheetId="31">'[1]比较法-商业'!$B$114:$M$114</definedName>
    <definedName name="商业业态" localSheetId="26">'[1]比较法-商业'!$B$114:$M$114</definedName>
    <definedName name="商业业态">'比较法-商业'!$B$114:$M$114</definedName>
    <definedName name="商业用途" localSheetId="31">'[1]比较法-商业'!$B$63:$M$63</definedName>
    <definedName name="商业用途" localSheetId="2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1">'[1]比较法-仓储'!$B$89:$M$89</definedName>
    <definedName name="是否封闭" localSheetId="26">'[1]比较法-仓储'!$B$89:$M$89</definedName>
    <definedName name="是否封闭">'比较法-仓储'!$B$89:$M$89</definedName>
    <definedName name="是否直接入户" localSheetId="31">'[1]比较法-车位'!$B$95:$M$95</definedName>
    <definedName name="是否直接入户" localSheetId="26">'[1]比较法-车位'!$B$95:$M$95</definedName>
    <definedName name="是否直接入户">'比较法-车位'!$B$95:$M$95</definedName>
    <definedName name="四级">区片价!$K$1:$K$28</definedName>
    <definedName name="套工道路等级" localSheetId="31">'[1]土地比较法-工业'!$B$97:$M$97</definedName>
    <definedName name="套工道路等级" localSheetId="26">'[1]土地比较法-工业'!$B$97:$M$97</definedName>
    <definedName name="套工道路等级">'土地比较法-工业'!$B$97:$M$97</definedName>
    <definedName name="套工地质条件" localSheetId="31">'[1]土地比较法-工业'!$B$114:$M$114</definedName>
    <definedName name="套工地质条件" localSheetId="26">'[1]土地比较法-工业'!$B$114:$M$114</definedName>
    <definedName name="套工地质条件">'土地比较法-工业'!$B$114:$M$114</definedName>
    <definedName name="套工交易情况" localSheetId="31">'[1]土地比较法-住宅、综合'!$A$73:$M$73</definedName>
    <definedName name="套工交易情况" localSheetId="26">'[1]土地比较法-住宅、综合'!$A$73:$M$73</definedName>
    <definedName name="套工交易情况">'土地比较法-住宅、综合'!$A$73:$M$73</definedName>
    <definedName name="套工土地级别" localSheetId="31">'[1]土地比较法-工业'!$B$99:$M$99</definedName>
    <definedName name="套工土地级别" localSheetId="26">'[1]土地比较法-工业'!$B$99:$M$99</definedName>
    <definedName name="套工土地级别">'土地比较法-工业'!$B$99:$M$99</definedName>
    <definedName name="套工用途" localSheetId="31">'[1]土地比较法-工业'!$B$70:$M$70</definedName>
    <definedName name="套工用途" localSheetId="26">'[1]土地比较法-工业'!$B$70:$M$70</definedName>
    <definedName name="套工用途">'土地比较法-工业'!$B$70:$M$70</definedName>
    <definedName name="套工宗地开发程度" localSheetId="31">'[1]土地比较法-工业'!$B$112:$M$112</definedName>
    <definedName name="套工宗地开发程度" localSheetId="26">'[1]土地比较法-工业'!$B$112:$M$112</definedName>
    <definedName name="套工宗地开发程度">'土地比较法-工业'!$B$112:$M$112</definedName>
    <definedName name="套工宗地形状" localSheetId="31">'[1]土地比较法-工业'!$B$110:$M$110</definedName>
    <definedName name="套工宗地形状" localSheetId="26">'[1]土地比较法-工业'!$B$110:$M$110</definedName>
    <definedName name="套工宗地形状">'土地比较法-工业'!$B$110:$M$110</definedName>
    <definedName name="套综道路等级" localSheetId="31">'[1]土地比较法-住宅、综合'!$B$106:$M$106</definedName>
    <definedName name="套综道路等级" localSheetId="26">'[1]土地比较法-住宅、综合'!$B$106:$M$106</definedName>
    <definedName name="套综道路等级">'土地比较法-住宅、综合'!$B$106:$M$106</definedName>
    <definedName name="套综工程地质条件" localSheetId="31">'[1]土地比较法-住宅、综合'!$B$125:$M$125</definedName>
    <definedName name="套综工程地质条件" localSheetId="26">'[1]土地比较法-住宅、综合'!$B$125:$M$125</definedName>
    <definedName name="套综工程地质条件">'土地比较法-住宅、综合'!$B$125:$M$125</definedName>
    <definedName name="套综交易情况" localSheetId="31">'[1]土地比较法-住宅、综合'!$A$73:$M$73</definedName>
    <definedName name="套综交易情况" localSheetId="26">'[1]土地比较法-住宅、综合'!$A$73:$M$73</definedName>
    <definedName name="套综交易情况">'土地比较法-住宅、综合'!$A$73:$M$73</definedName>
    <definedName name="套综临街宽度及深度" localSheetId="31">'[1]土地比较法-住宅、综合'!$B$121:$M$121</definedName>
    <definedName name="套综临街宽度及深度" localSheetId="26">'[1]土地比较法-住宅、综合'!$B$121:$M$121</definedName>
    <definedName name="套综临街宽度及深度">'土地比较法-住宅、综合'!$B$121:$M$121</definedName>
    <definedName name="套综土地级别" localSheetId="31">'[1]土地比较法-住宅、综合'!$B$108:$M$108</definedName>
    <definedName name="套综土地级别" localSheetId="26">'[1]土地比较法-住宅、综合'!$B$108:$M$108</definedName>
    <definedName name="套综土地级别">'土地比较法-住宅、综合'!$B$108:$M$108</definedName>
    <definedName name="套综用途" localSheetId="31">'[1]土地比较法-住宅、综合'!$B$75:$M$75</definedName>
    <definedName name="套综用途" localSheetId="26">'[1]土地比较法-住宅、综合'!$B$75:$M$75</definedName>
    <definedName name="套综用途">'土地比较法-住宅、综合'!$B$75:$M$75</definedName>
    <definedName name="套综宗地内开发程度" localSheetId="31">'[1]土地比较法-住宅、综合'!$B$123:$M$123</definedName>
    <definedName name="套综宗地内开发程度" localSheetId="26">'[1]土地比较法-住宅、综合'!$B$123:$M$123</definedName>
    <definedName name="套综宗地内开发程度">'土地比较法-住宅、综合'!$B$123:$M$123</definedName>
    <definedName name="套综宗地形状" localSheetId="31">'[1]土地比较法-住宅、综合'!$B$119:$M$119</definedName>
    <definedName name="套综宗地形状" localSheetId="26">'[1]土地比较法-住宅、综合'!$B$119:$M$119</definedName>
    <definedName name="套综宗地形状">'土地比较法-住宅、综合'!$B$119:$M$119</definedName>
    <definedName name="土地估价师">估价师及机构信息!$D$3:$D$24</definedName>
    <definedName name="土地级别" localSheetId="31">[1]定义!$C$1:$C$14</definedName>
    <definedName name="土地级别" localSheetId="26">[1]定义!$C$1:$C$14</definedName>
    <definedName name="土地级别">定义!$C$1:$C$14</definedName>
    <definedName name="土地利用方向">定义!$P$1:$P$6</definedName>
    <definedName name="土地年限区间" localSheetId="31">[1]定义!$I$1:$I$8</definedName>
    <definedName name="土地年限区间" localSheetId="26">[1]定义!$I$1:$I$8</definedName>
    <definedName name="土地年限区间">定义!$I$1:$I$8</definedName>
    <definedName name="位置" localSheetId="31">[1]定义!$E$2:$E$4</definedName>
    <definedName name="位置" localSheetId="26">[1]定义!$E$2:$E$4</definedName>
    <definedName name="位置">定义!$E$2:$E$4</definedName>
    <definedName name="五等判定" localSheetId="31">[1]定义!$W$1:$W$6</definedName>
    <definedName name="五等判定" localSheetId="26">[1]定义!$W$1:$W$6</definedName>
    <definedName name="五等判定">定义!$W$1:$W$6</definedName>
    <definedName name="五级">区片价!$L$1:$L$35</definedName>
    <definedName name="项目类型" localSheetId="31">'[1]数据-汇总表'!$C$17:$C$26</definedName>
    <definedName name="项目类型" localSheetId="26">'[1]数据-汇总表'!$C$17:$C$26</definedName>
    <definedName name="项目类型">'数据-汇总表'!$C$17:$C$26</definedName>
    <definedName name="写字楼等级" localSheetId="31">'比较法-办公 (租金)'!$B$113:$M$113</definedName>
    <definedName name="写字楼等级" localSheetId="26">'比较法-办公 (租金)'!$B$113:$M$113</definedName>
    <definedName name="写字楼等级">'比较法-办公'!$B$113:$M$113</definedName>
    <definedName name="一级">区片价!$H$1:$H$6</definedName>
    <definedName name="一修多修正项2" localSheetId="31">[1]典型户型修正!$5:$5</definedName>
    <definedName name="一修多修正项2" localSheetId="26">[1]典型户型修正!$5:$5</definedName>
    <definedName name="一修多修正项2">典型户型修正!$5:$5</definedName>
    <definedName name="一修多修正项3" localSheetId="31">[1]典型户型修正!$7:$7</definedName>
    <definedName name="一修多修正项3" localSheetId="26">[1]典型户型修正!$7:$7</definedName>
    <definedName name="一修多修正项3">典型户型修正!$7:$7</definedName>
    <definedName name="一修多修正项4" localSheetId="31">[1]典型户型修正!$9:$9</definedName>
    <definedName name="一修多修正项4" localSheetId="26">[1]典型户型修正!$9:$9</definedName>
    <definedName name="一修多修正项4">典型户型修正!$9:$9</definedName>
    <definedName name="一修多修正项5" localSheetId="31">[1]典型户型修正!$11:$11</definedName>
    <definedName name="一修多修正项5" localSheetId="26">[1]典型户型修正!$11:$11</definedName>
    <definedName name="一修多修正项5">典型户型修正!$11:$11</definedName>
    <definedName name="一修多修正项6" localSheetId="31">[1]典型户型修正!$13:$13</definedName>
    <definedName name="一修多修正项6" localSheetId="26">[1]典型户型修正!$13:$13</definedName>
    <definedName name="一修多修正项6">典型户型修正!$13:$13</definedName>
    <definedName name="一修多修正项7" localSheetId="31">[1]典型户型修正!$15:$15</definedName>
    <definedName name="一修多修正项7" localSheetId="26">[1]典型户型修正!$15:$15</definedName>
    <definedName name="一修多修正项7">典型户型修正!$15:$15</definedName>
    <definedName name="一修多修正项8" localSheetId="31">[1]典型户型修正!$17:$17</definedName>
    <definedName name="一修多修正项8" localSheetId="26">[1]典型户型修正!$17:$17</definedName>
    <definedName name="一修多修正项8">典型户型修正!$17:$17</definedName>
    <definedName name="用途明细" localSheetId="31">[1]定义!$A$1:$A$50</definedName>
    <definedName name="用途明细" localSheetId="26">[1]定义!$A$1:$A$50</definedName>
    <definedName name="用途明细">定义!$A$1:$A$50</definedName>
    <definedName name="有无电梯" localSheetId="31">'[1]比较法-仓储'!$B$84:$M$84</definedName>
    <definedName name="有无电梯" localSheetId="26">'[1]比较法-仓储'!$B$84:$M$84</definedName>
    <definedName name="有无电梯">'比较法-仓储'!$B$84:$M$84</definedName>
    <definedName name="主用途" localSheetId="31">[1]定义!$F$1:$F$10</definedName>
    <definedName name="主用途" localSheetId="26">[1]定义!$F$1:$F$10</definedName>
    <definedName name="主用途">定义!$F$1:$F$10</definedName>
    <definedName name="住宅朝向" localSheetId="31">'[1]比较法-住宅'!$B$88:$M$88</definedName>
    <definedName name="住宅朝向" localSheetId="35">'比较法-联排'!$B$88:$M$88</definedName>
    <definedName name="住宅朝向" localSheetId="26">'[1]比较法-住宅'!$B$88:$M$88</definedName>
    <definedName name="住宅朝向">'比较法-住宅'!$B$88:$M$88</definedName>
    <definedName name="住宅房型" localSheetId="31">'[1]比较法-住宅'!$B$118:$M$118</definedName>
    <definedName name="住宅房型" localSheetId="35">'比较法-联排'!$B$118:$M$118</definedName>
    <definedName name="住宅房型" localSheetId="26">'[1]比较法-住宅'!$B$118:$M$118</definedName>
    <definedName name="住宅房型">'比较法-住宅'!$B$118:$M$118</definedName>
    <definedName name="住宅公共部分装修" localSheetId="31">'[1]比较法-住宅'!$B$109:$M$109</definedName>
    <definedName name="住宅公共部分装修" localSheetId="35">'比较法-联排'!$B$109:$M$109</definedName>
    <definedName name="住宅公共部分装修" localSheetId="26">'[1]比较法-住宅'!$B$109:$M$109</definedName>
    <definedName name="住宅公共部分装修">'比较法-住宅'!$B$109:$M$109</definedName>
    <definedName name="住宅基础设施水平" localSheetId="31">'[1]比较法-住宅'!$B$116:$M$116</definedName>
    <definedName name="住宅基础设施水平" localSheetId="35">'比较法-联排'!$B$116:$M$116</definedName>
    <definedName name="住宅基础设施水平" localSheetId="26">'[1]比较法-住宅'!$B$116:$M$116</definedName>
    <definedName name="住宅基础设施水平">'比较法-住宅'!$B$116:$M$116</definedName>
    <definedName name="住宅建筑结构" localSheetId="31">'[1]比较法-住宅'!$B$105:$M$105</definedName>
    <definedName name="住宅建筑结构" localSheetId="35">'比较法-联排'!$B$105:$M$105</definedName>
    <definedName name="住宅建筑结构" localSheetId="26">'[1]比较法-住宅'!$B$105:$M$105</definedName>
    <definedName name="住宅建筑结构">'比较法-住宅'!$B$105:$M$105</definedName>
    <definedName name="住宅建筑类型" localSheetId="31">'[1]比较法-住宅'!$B$100:$M$100</definedName>
    <definedName name="住宅建筑类型" localSheetId="35">'比较法-联排'!$B$100:$M$100</definedName>
    <definedName name="住宅建筑类型" localSheetId="26">'[1]比较法-住宅'!$B$100:$M$100</definedName>
    <definedName name="住宅建筑类型">'比较法-住宅'!$B$100:$M$100</definedName>
    <definedName name="住宅建筑品质" localSheetId="31">'[1]比较法-住宅'!$B$107:$M$107</definedName>
    <definedName name="住宅建筑品质" localSheetId="35">'比较法-联排'!$B$107:$M$107</definedName>
    <definedName name="住宅建筑品质" localSheetId="26">'[1]比较法-住宅'!$B$107:$M$107</definedName>
    <definedName name="住宅建筑品质">'比较法-住宅'!$B$107:$M$107</definedName>
    <definedName name="住宅交易情况" localSheetId="31">'[1]比较法-住宅'!$A$61:$M$61</definedName>
    <definedName name="住宅交易情况" localSheetId="35">'比较法-联排'!$A$61:$M$61</definedName>
    <definedName name="住宅交易情况" localSheetId="26">'[1]比较法-住宅'!$A$61:$M$61</definedName>
    <definedName name="住宅交易情况">'比较法-住宅'!$A$61:$M$61</definedName>
    <definedName name="住宅楼层" localSheetId="31">'[1]比较法-住宅'!$B$86:$M$86</definedName>
    <definedName name="住宅楼层" localSheetId="35">'比较法-联排'!$B$86:$M$86</definedName>
    <definedName name="住宅楼层" localSheetId="26">'[1]比较法-住宅'!$B$86:$M$86</definedName>
    <definedName name="住宅楼层">'比较法-住宅'!$B$86:$M$86</definedName>
    <definedName name="住宅内部装修" localSheetId="31">'[1]比较法-住宅'!$B$122:$M$122</definedName>
    <definedName name="住宅内部装修" localSheetId="35">'比较法-联排'!$B$122:$M$122</definedName>
    <definedName name="住宅内部装修" localSheetId="26">'[1]比较法-住宅'!$B$122:$M$122</definedName>
    <definedName name="住宅内部装修">'比较法-住宅'!$B$122:$M$122</definedName>
    <definedName name="住宅物业管理" localSheetId="31">'[1]比较法-住宅'!$B$114:$M$114</definedName>
    <definedName name="住宅物业管理" localSheetId="35">'比较法-联排'!$B$114:$M$114</definedName>
    <definedName name="住宅物业管理" localSheetId="26">'[1]比较法-住宅'!$B$114:$M$114</definedName>
    <definedName name="住宅物业管理">'比较法-住宅'!$B$114:$M$114</definedName>
    <definedName name="住宅用途" localSheetId="31">'[1]比较法-住宅'!$B$63:$M$63</definedName>
    <definedName name="住宅用途" localSheetId="35">'比较法-联排'!$B$63:$M$63</definedName>
    <definedName name="住宅用途" localSheetId="26">'[1]比较法-住宅'!$B$63:$M$63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 localSheetId="31">[1]估价师及机构信息!$A$3:$A$24</definedName>
    <definedName name="注册房地产估价师" localSheetId="26">[1]估价师及机构信息!$A$3:$A$24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29" i="43" l="1"/>
  <c r="C15" i="74" l="1"/>
  <c r="B15" i="74"/>
  <c r="D15" i="74" l="1"/>
  <c r="G15" i="74" s="1"/>
  <c r="B91" i="86" l="1"/>
  <c r="D89" i="86"/>
  <c r="C89" i="86"/>
  <c r="B89" i="86"/>
  <c r="B87" i="86"/>
  <c r="N14" i="1" l="1"/>
  <c r="AL17" i="3"/>
  <c r="D29" i="88" l="1"/>
  <c r="D33" i="88"/>
  <c r="H33" i="88" s="1"/>
  <c r="F113" i="88"/>
  <c r="L108" i="88"/>
  <c r="H108" i="88"/>
  <c r="D108" i="88"/>
  <c r="L100" i="88"/>
  <c r="H100" i="88"/>
  <c r="D100" i="88"/>
  <c r="N99" i="88"/>
  <c r="N108" i="88" s="1"/>
  <c r="M99" i="88"/>
  <c r="L99" i="88"/>
  <c r="K99" i="88"/>
  <c r="J99" i="88"/>
  <c r="J108" i="88" s="1"/>
  <c r="I99" i="88"/>
  <c r="H99" i="88"/>
  <c r="G99" i="88"/>
  <c r="F99" i="88"/>
  <c r="F108" i="88" s="1"/>
  <c r="E99" i="88"/>
  <c r="D99" i="88"/>
  <c r="C99" i="88"/>
  <c r="M88" i="88"/>
  <c r="N88" i="88" s="1"/>
  <c r="K88" i="88"/>
  <c r="J88" i="88"/>
  <c r="D88" i="88"/>
  <c r="B88" i="88"/>
  <c r="N87" i="88"/>
  <c r="M87" i="88"/>
  <c r="K87" i="88"/>
  <c r="J87" i="88" s="1"/>
  <c r="D87" i="88"/>
  <c r="N86" i="88"/>
  <c r="M86" i="88"/>
  <c r="K86" i="88"/>
  <c r="J86" i="88" s="1"/>
  <c r="D86" i="88"/>
  <c r="B86" i="88"/>
  <c r="M85" i="88"/>
  <c r="N85" i="88" s="1"/>
  <c r="K85" i="88"/>
  <c r="J85" i="88"/>
  <c r="D85" i="88"/>
  <c r="B85" i="88"/>
  <c r="N84" i="88"/>
  <c r="M84" i="88"/>
  <c r="K84" i="88"/>
  <c r="J84" i="88" s="1"/>
  <c r="D84" i="88"/>
  <c r="B84" i="88"/>
  <c r="M83" i="88"/>
  <c r="N83" i="88" s="1"/>
  <c r="K83" i="88"/>
  <c r="J83" i="88"/>
  <c r="D83" i="88"/>
  <c r="B83" i="88"/>
  <c r="N82" i="88"/>
  <c r="M82" i="88"/>
  <c r="K82" i="88"/>
  <c r="J82" i="88" s="1"/>
  <c r="D82" i="88"/>
  <c r="B82" i="88"/>
  <c r="M81" i="88"/>
  <c r="N81" i="88" s="1"/>
  <c r="K81" i="88"/>
  <c r="J81" i="88"/>
  <c r="F81" i="88"/>
  <c r="H87" i="88" s="1"/>
  <c r="D81" i="88"/>
  <c r="E81" i="88" s="1"/>
  <c r="B79" i="88" s="1"/>
  <c r="B81" i="88"/>
  <c r="M78" i="88"/>
  <c r="N78" i="88" s="1"/>
  <c r="K78" i="88"/>
  <c r="J78" i="88"/>
  <c r="D78" i="88"/>
  <c r="M77" i="88"/>
  <c r="N77" i="88" s="1"/>
  <c r="K77" i="88"/>
  <c r="J77" i="88"/>
  <c r="D77" i="88"/>
  <c r="B77" i="88"/>
  <c r="N76" i="88"/>
  <c r="M76" i="88"/>
  <c r="K76" i="88"/>
  <c r="J76" i="88" s="1"/>
  <c r="D76" i="88"/>
  <c r="N75" i="88"/>
  <c r="M75" i="88"/>
  <c r="K75" i="88"/>
  <c r="J75" i="88" s="1"/>
  <c r="D75" i="88"/>
  <c r="B75" i="88"/>
  <c r="M74" i="88"/>
  <c r="N74" i="88" s="1"/>
  <c r="K74" i="88"/>
  <c r="J74" i="88"/>
  <c r="D74" i="88"/>
  <c r="B74" i="88"/>
  <c r="N73" i="88"/>
  <c r="M73" i="88"/>
  <c r="K73" i="88"/>
  <c r="J73" i="88" s="1"/>
  <c r="D73" i="88"/>
  <c r="B73" i="88"/>
  <c r="M72" i="88"/>
  <c r="N72" i="88" s="1"/>
  <c r="K72" i="88"/>
  <c r="J72" i="88"/>
  <c r="D72" i="88"/>
  <c r="B72" i="88"/>
  <c r="N71" i="88"/>
  <c r="M71" i="88"/>
  <c r="K71" i="88"/>
  <c r="J71" i="88" s="1"/>
  <c r="D71" i="88"/>
  <c r="B71" i="88"/>
  <c r="M70" i="88"/>
  <c r="N70" i="88" s="1"/>
  <c r="K70" i="88"/>
  <c r="J70" i="88"/>
  <c r="F70" i="88"/>
  <c r="H76" i="88" s="1"/>
  <c r="D70" i="88"/>
  <c r="E70" i="88" s="1"/>
  <c r="B68" i="88" s="1"/>
  <c r="B70" i="88"/>
  <c r="M67" i="88"/>
  <c r="N67" i="88" s="1"/>
  <c r="K67" i="88"/>
  <c r="J67" i="88"/>
  <c r="D67" i="88"/>
  <c r="B67" i="88"/>
  <c r="N66" i="88"/>
  <c r="M66" i="88"/>
  <c r="K66" i="88"/>
  <c r="J66" i="88" s="1"/>
  <c r="D66" i="88" s="1"/>
  <c r="B66" i="88"/>
  <c r="M65" i="88"/>
  <c r="N65" i="88" s="1"/>
  <c r="K65" i="88"/>
  <c r="J65" i="88"/>
  <c r="D65" i="88"/>
  <c r="B65" i="88"/>
  <c r="N64" i="88"/>
  <c r="M64" i="88"/>
  <c r="K64" i="88"/>
  <c r="J64" i="88" s="1"/>
  <c r="D64" i="88" s="1"/>
  <c r="N63" i="88"/>
  <c r="M63" i="88"/>
  <c r="K63" i="88"/>
  <c r="J63" i="88" s="1"/>
  <c r="D63" i="88" s="1"/>
  <c r="B63" i="88"/>
  <c r="M62" i="88"/>
  <c r="N62" i="88" s="1"/>
  <c r="K62" i="88"/>
  <c r="J62" i="88"/>
  <c r="D62" i="88"/>
  <c r="M61" i="88"/>
  <c r="N61" i="88" s="1"/>
  <c r="K61" i="88"/>
  <c r="J61" i="88"/>
  <c r="D61" i="88"/>
  <c r="B61" i="88"/>
  <c r="N60" i="88"/>
  <c r="M60" i="88"/>
  <c r="K60" i="88"/>
  <c r="J60" i="88" s="1"/>
  <c r="D60" i="88" s="1"/>
  <c r="B60" i="88"/>
  <c r="M59" i="88"/>
  <c r="N59" i="88" s="1"/>
  <c r="K59" i="88"/>
  <c r="J59" i="88"/>
  <c r="D59" i="88"/>
  <c r="E59" i="88" s="1"/>
  <c r="B57" i="88" s="1"/>
  <c r="B59" i="88"/>
  <c r="M56" i="88"/>
  <c r="N56" i="88" s="1"/>
  <c r="K56" i="88"/>
  <c r="J56" i="88"/>
  <c r="D56" i="88"/>
  <c r="B56" i="88"/>
  <c r="M55" i="88"/>
  <c r="N55" i="88" s="1"/>
  <c r="K55" i="88"/>
  <c r="J55" i="88" s="1"/>
  <c r="D55" i="88"/>
  <c r="B55" i="88"/>
  <c r="M54" i="88"/>
  <c r="N54" i="88" s="1"/>
  <c r="K54" i="88"/>
  <c r="J54" i="88"/>
  <c r="D54" i="88"/>
  <c r="B54" i="88"/>
  <c r="M53" i="88"/>
  <c r="N53" i="88" s="1"/>
  <c r="K53" i="88"/>
  <c r="J53" i="88" s="1"/>
  <c r="D53" i="88"/>
  <c r="M52" i="88"/>
  <c r="N52" i="88" s="1"/>
  <c r="K52" i="88"/>
  <c r="J52" i="88" s="1"/>
  <c r="D52" i="88"/>
  <c r="B52" i="88"/>
  <c r="M51" i="88"/>
  <c r="N51" i="88" s="1"/>
  <c r="K51" i="88"/>
  <c r="J51" i="88"/>
  <c r="D51" i="88"/>
  <c r="M50" i="88"/>
  <c r="N50" i="88" s="1"/>
  <c r="K50" i="88"/>
  <c r="J50" i="88"/>
  <c r="D50" i="88"/>
  <c r="B50" i="88"/>
  <c r="M49" i="88"/>
  <c r="N49" i="88" s="1"/>
  <c r="K49" i="88"/>
  <c r="J49" i="88" s="1"/>
  <c r="D49" i="88"/>
  <c r="B49" i="88"/>
  <c r="M48" i="88"/>
  <c r="N48" i="88" s="1"/>
  <c r="K48" i="88"/>
  <c r="J48" i="88" s="1"/>
  <c r="D48" i="88" s="1"/>
  <c r="B48" i="88"/>
  <c r="H39" i="88"/>
  <c r="H38" i="88"/>
  <c r="H37" i="88"/>
  <c r="H36" i="88"/>
  <c r="H35" i="88"/>
  <c r="H34" i="88"/>
  <c r="J20" i="88"/>
  <c r="I20" i="88"/>
  <c r="M19" i="88"/>
  <c r="I19" i="88"/>
  <c r="G19" i="88"/>
  <c r="C18" i="88"/>
  <c r="F15" i="88"/>
  <c r="E15" i="88"/>
  <c r="D15" i="88"/>
  <c r="C12" i="88" s="1"/>
  <c r="C15" i="88"/>
  <c r="AJ12" i="88"/>
  <c r="AF12" i="88"/>
  <c r="Y12" i="88"/>
  <c r="Y10" i="88"/>
  <c r="C10" i="88"/>
  <c r="C11" i="88" s="1"/>
  <c r="AJ9" i="88"/>
  <c r="AJ10" i="88" s="1"/>
  <c r="AI9" i="88"/>
  <c r="AI12" i="88" s="1"/>
  <c r="AH9" i="88"/>
  <c r="AH10" i="88" s="1"/>
  <c r="AG9" i="88"/>
  <c r="AG12" i="88" s="1"/>
  <c r="AF9" i="88"/>
  <c r="AF10" i="88" s="1"/>
  <c r="AE9" i="88"/>
  <c r="AE12" i="88" s="1"/>
  <c r="AD9" i="88"/>
  <c r="AD10" i="88" s="1"/>
  <c r="AC9" i="88"/>
  <c r="AC12" i="88" s="1"/>
  <c r="AB9" i="88"/>
  <c r="AB12" i="88" s="1"/>
  <c r="AA9" i="88"/>
  <c r="AA12" i="88" s="1"/>
  <c r="Z9" i="88"/>
  <c r="Z12" i="88" s="1"/>
  <c r="C9" i="88"/>
  <c r="A7" i="88"/>
  <c r="I2" i="88"/>
  <c r="M11" i="88" s="1"/>
  <c r="G2" i="88"/>
  <c r="M1" i="88"/>
  <c r="D1" i="88"/>
  <c r="E48" i="88" l="1"/>
  <c r="B46" i="88" s="1"/>
  <c r="C24" i="88" s="1"/>
  <c r="E11" i="88"/>
  <c r="E9" i="88"/>
  <c r="E8" i="88"/>
  <c r="E10" i="88"/>
  <c r="N1" i="88"/>
  <c r="H113" i="88"/>
  <c r="F37" i="88"/>
  <c r="F36" i="88"/>
  <c r="F35" i="88"/>
  <c r="F34" i="88"/>
  <c r="F33" i="88"/>
  <c r="J17" i="88"/>
  <c r="H17" i="88"/>
  <c r="E17" i="88"/>
  <c r="M2" i="88"/>
  <c r="N3" i="88"/>
  <c r="M4" i="88"/>
  <c r="N5" i="88"/>
  <c r="N6" i="88"/>
  <c r="F59" i="88" s="1"/>
  <c r="M7" i="88"/>
  <c r="M8" i="88"/>
  <c r="M9" i="88"/>
  <c r="N10" i="88"/>
  <c r="Z10" i="88"/>
  <c r="AB10" i="88"/>
  <c r="AE10" i="88"/>
  <c r="AI10" i="88"/>
  <c r="AD12" i="88"/>
  <c r="AH12" i="88"/>
  <c r="C17" i="88"/>
  <c r="I17" i="88"/>
  <c r="P25" i="88"/>
  <c r="P21" i="88"/>
  <c r="M20" i="88"/>
  <c r="O19" i="88"/>
  <c r="C19" i="88"/>
  <c r="P23" i="88"/>
  <c r="F38" i="88"/>
  <c r="M12" i="88"/>
  <c r="N11" i="88"/>
  <c r="N2" i="88"/>
  <c r="M3" i="88"/>
  <c r="N4" i="88"/>
  <c r="M5" i="88"/>
  <c r="M6" i="88"/>
  <c r="C6" i="88" s="1"/>
  <c r="N7" i="88"/>
  <c r="X7" i="88"/>
  <c r="N8" i="88"/>
  <c r="N9" i="88"/>
  <c r="M10" i="88"/>
  <c r="AA10" i="88"/>
  <c r="AC10" i="88"/>
  <c r="AG10" i="88"/>
  <c r="N12" i="88"/>
  <c r="G17" i="88"/>
  <c r="P22" i="88"/>
  <c r="P24" i="88"/>
  <c r="F39" i="88"/>
  <c r="H70" i="88"/>
  <c r="H72" i="88"/>
  <c r="H74" i="88"/>
  <c r="H77" i="88"/>
  <c r="H78" i="88"/>
  <c r="H81" i="88"/>
  <c r="H83" i="88"/>
  <c r="H85" i="88"/>
  <c r="H88" i="88"/>
  <c r="F100" i="88"/>
  <c r="J100" i="88"/>
  <c r="N100" i="88"/>
  <c r="H71" i="88"/>
  <c r="H73" i="88"/>
  <c r="H75" i="88"/>
  <c r="H82" i="88"/>
  <c r="H84" i="88"/>
  <c r="H86" i="88"/>
  <c r="C108" i="88"/>
  <c r="C100" i="88"/>
  <c r="E108" i="88"/>
  <c r="E100" i="88"/>
  <c r="G108" i="88"/>
  <c r="G100" i="88"/>
  <c r="I108" i="88"/>
  <c r="I100" i="88"/>
  <c r="K108" i="88"/>
  <c r="K100" i="88"/>
  <c r="M108" i="88"/>
  <c r="M100" i="88"/>
  <c r="F48" i="88" l="1"/>
  <c r="H66" i="88"/>
  <c r="H64" i="88"/>
  <c r="H63" i="88"/>
  <c r="H60" i="88"/>
  <c r="H67" i="88"/>
  <c r="H65" i="88"/>
  <c r="H62" i="88"/>
  <c r="H61" i="88"/>
  <c r="H59" i="88"/>
  <c r="C16" i="88"/>
  <c r="G39" i="88"/>
  <c r="I39" i="88" s="1"/>
  <c r="C7" i="88"/>
  <c r="H55" i="88" l="1"/>
  <c r="H48" i="88"/>
  <c r="H51" i="88"/>
  <c r="H56" i="88"/>
  <c r="H52" i="88"/>
  <c r="H49" i="88"/>
  <c r="H53" i="88"/>
  <c r="H50" i="88"/>
  <c r="H54" i="88"/>
  <c r="C5" i="88"/>
  <c r="D5" i="88"/>
  <c r="M20" i="43" l="1"/>
  <c r="AH4" i="71"/>
  <c r="AG4" i="71"/>
  <c r="AF4" i="71"/>
  <c r="AE4" i="71"/>
  <c r="AD4" i="71"/>
  <c r="AB4" i="71"/>
  <c r="AA4" i="71"/>
  <c r="Y4" i="71"/>
  <c r="Z4" i="71" s="1"/>
  <c r="X4" i="71"/>
  <c r="C23" i="87" l="1"/>
  <c r="C21" i="87"/>
  <c r="C19" i="87"/>
  <c r="C17" i="87"/>
  <c r="C15" i="87"/>
  <c r="C7" i="87"/>
  <c r="D3" i="87"/>
  <c r="F8" i="87"/>
  <c r="H8" i="87"/>
  <c r="J8" i="87"/>
  <c r="W8" i="87" s="1"/>
  <c r="S8" i="87"/>
  <c r="U8" i="87"/>
  <c r="AA8" i="87"/>
  <c r="AB8" i="87"/>
  <c r="AC8" i="87"/>
  <c r="Q9" i="87"/>
  <c r="Z9" i="87"/>
  <c r="F10" i="87"/>
  <c r="H10" i="87"/>
  <c r="J10" i="87"/>
  <c r="Q10" i="87"/>
  <c r="S10" i="87"/>
  <c r="U10" i="87"/>
  <c r="W10" i="87"/>
  <c r="Z10" i="87"/>
  <c r="AA10" i="87"/>
  <c r="AB10" i="87"/>
  <c r="AC10" i="87"/>
  <c r="Q11" i="87"/>
  <c r="Z11" i="87"/>
  <c r="Q12" i="87"/>
  <c r="Z12" i="87"/>
  <c r="Q13" i="87"/>
  <c r="Z13" i="87"/>
  <c r="Q14" i="87"/>
  <c r="Z14" i="87"/>
  <c r="Q15" i="87"/>
  <c r="Z15" i="87"/>
  <c r="Q17" i="87"/>
  <c r="Z17" i="87"/>
  <c r="Q19" i="87"/>
  <c r="Z19" i="87"/>
  <c r="F21" i="87"/>
  <c r="H21" i="87"/>
  <c r="J21" i="87"/>
  <c r="W21" i="87" s="1"/>
  <c r="Q21" i="87"/>
  <c r="S21" i="87"/>
  <c r="U21" i="87"/>
  <c r="Z21" i="87"/>
  <c r="AA21" i="87"/>
  <c r="AB21" i="87"/>
  <c r="Q23" i="87"/>
  <c r="Z23" i="87"/>
  <c r="Q25" i="87"/>
  <c r="Z25" i="87"/>
  <c r="Q27" i="87"/>
  <c r="Z27" i="87" s="1"/>
  <c r="Q28" i="87"/>
  <c r="Z28" i="87" s="1"/>
  <c r="Q29" i="87"/>
  <c r="Z29" i="87" s="1"/>
  <c r="Q30" i="87"/>
  <c r="Z30" i="87" s="1"/>
  <c r="Q31" i="87"/>
  <c r="Z31" i="87" s="1"/>
  <c r="Q32" i="87"/>
  <c r="Z32" i="87" s="1"/>
  <c r="Q33" i="87"/>
  <c r="Z33" i="87"/>
  <c r="F34" i="87"/>
  <c r="H34" i="87"/>
  <c r="U34" i="87" s="1"/>
  <c r="J34" i="87"/>
  <c r="W34" i="87" s="1"/>
  <c r="Q34" i="87"/>
  <c r="S34" i="87"/>
  <c r="Z34" i="87"/>
  <c r="AA34" i="87"/>
  <c r="AB34" i="87"/>
  <c r="Q35" i="87"/>
  <c r="Z35" i="87"/>
  <c r="F36" i="87"/>
  <c r="H36" i="87"/>
  <c r="J36" i="87"/>
  <c r="Q36" i="87"/>
  <c r="S36" i="87"/>
  <c r="U36" i="87"/>
  <c r="W36" i="87"/>
  <c r="Z36" i="87"/>
  <c r="AA36" i="87"/>
  <c r="AB36" i="87"/>
  <c r="AC36" i="87"/>
  <c r="Q37" i="87"/>
  <c r="Z37" i="87"/>
  <c r="F38" i="87"/>
  <c r="H38" i="87"/>
  <c r="J38" i="87"/>
  <c r="Q38" i="87"/>
  <c r="S38" i="87"/>
  <c r="U38" i="87"/>
  <c r="W38" i="87"/>
  <c r="Z38" i="87"/>
  <c r="AA38" i="87"/>
  <c r="AB38" i="87"/>
  <c r="AC38" i="87"/>
  <c r="Q39" i="87"/>
  <c r="Z39" i="87"/>
  <c r="Q40" i="87"/>
  <c r="Z40" i="87"/>
  <c r="Q41" i="87"/>
  <c r="Z41" i="87"/>
  <c r="F42" i="87"/>
  <c r="S42" i="87" s="1"/>
  <c r="H42" i="87"/>
  <c r="AB42" i="87" s="1"/>
  <c r="J42" i="87"/>
  <c r="W42" i="87" s="1"/>
  <c r="Q42" i="87"/>
  <c r="Z42" i="87"/>
  <c r="Q43" i="87"/>
  <c r="Z43" i="87"/>
  <c r="Q44" i="87"/>
  <c r="Z44" i="87"/>
  <c r="Q45" i="87"/>
  <c r="Z45" i="87" s="1"/>
  <c r="Q46" i="87"/>
  <c r="Z46" i="87"/>
  <c r="Q47" i="87"/>
  <c r="Z47" i="87"/>
  <c r="P48" i="87"/>
  <c r="R48" i="87"/>
  <c r="T48" i="87"/>
  <c r="V48" i="87"/>
  <c r="P49" i="87"/>
  <c r="P50" i="87"/>
  <c r="E55" i="87"/>
  <c r="F55" i="87" s="1"/>
  <c r="G55" i="87"/>
  <c r="H55" i="87" s="1"/>
  <c r="I55" i="87"/>
  <c r="J55" i="87" s="1"/>
  <c r="C59" i="87"/>
  <c r="D59" i="87" s="1"/>
  <c r="E59" i="87" s="1"/>
  <c r="F59" i="87" s="1"/>
  <c r="G59" i="87" s="1"/>
  <c r="H59" i="87" s="1"/>
  <c r="I59" i="87" s="1"/>
  <c r="J59" i="87" s="1"/>
  <c r="K59" i="87" s="1"/>
  <c r="L59" i="87" s="1"/>
  <c r="M59" i="87" s="1"/>
  <c r="N59" i="87" s="1"/>
  <c r="O59" i="87" s="1"/>
  <c r="C64" i="87"/>
  <c r="F67" i="87"/>
  <c r="G67" i="87"/>
  <c r="H67" i="87" s="1"/>
  <c r="I67" i="87" s="1"/>
  <c r="C68" i="87"/>
  <c r="D68" i="87"/>
  <c r="E68" i="87"/>
  <c r="F68" i="87"/>
  <c r="G68" i="87"/>
  <c r="H68" i="87"/>
  <c r="I68" i="87"/>
  <c r="J68" i="87"/>
  <c r="K68" i="87"/>
  <c r="L68" i="87"/>
  <c r="M68" i="87"/>
  <c r="D70" i="87"/>
  <c r="B71" i="87"/>
  <c r="B73" i="87"/>
  <c r="B75" i="87"/>
  <c r="D78" i="87"/>
  <c r="E78" i="87" s="1"/>
  <c r="F78" i="87" s="1"/>
  <c r="G78" i="87" s="1"/>
  <c r="D80" i="87"/>
  <c r="E80" i="87" s="1"/>
  <c r="H17" i="87" s="1"/>
  <c r="D82" i="87"/>
  <c r="E82" i="87"/>
  <c r="F82" i="87" s="1"/>
  <c r="G82" i="87" s="1"/>
  <c r="D84" i="87"/>
  <c r="E84" i="87"/>
  <c r="F84" i="87" s="1"/>
  <c r="G84" i="87" s="1"/>
  <c r="D86" i="87"/>
  <c r="E86" i="87"/>
  <c r="F86" i="87" s="1"/>
  <c r="G86" i="87" s="1"/>
  <c r="D88" i="87"/>
  <c r="E88" i="87"/>
  <c r="F88" i="87" s="1"/>
  <c r="B89" i="87"/>
  <c r="D90" i="87"/>
  <c r="E90" i="87" s="1"/>
  <c r="F90" i="87" s="1"/>
  <c r="G90" i="87" s="1"/>
  <c r="H90" i="87" s="1"/>
  <c r="I90" i="87" s="1"/>
  <c r="J90" i="87" s="1"/>
  <c r="K90" i="87" s="1"/>
  <c r="L90" i="87" s="1"/>
  <c r="M90" i="87" s="1"/>
  <c r="B91" i="87"/>
  <c r="D92" i="87"/>
  <c r="E92" i="87"/>
  <c r="F92" i="87" s="1"/>
  <c r="G92" i="87" s="1"/>
  <c r="H92" i="87" s="1"/>
  <c r="I92" i="87" s="1"/>
  <c r="J92" i="87" s="1"/>
  <c r="K92" i="87" s="1"/>
  <c r="L92" i="87" s="1"/>
  <c r="M92" i="87" s="1"/>
  <c r="B93" i="87"/>
  <c r="B95" i="87"/>
  <c r="B97" i="87"/>
  <c r="B99" i="87"/>
  <c r="D102" i="87"/>
  <c r="E102" i="87"/>
  <c r="F102" i="87" s="1"/>
  <c r="G102" i="87" s="1"/>
  <c r="C103" i="87"/>
  <c r="D103" i="87"/>
  <c r="E103" i="87"/>
  <c r="F103" i="87"/>
  <c r="G103" i="87"/>
  <c r="H103" i="87"/>
  <c r="I103" i="87"/>
  <c r="J103" i="87"/>
  <c r="K103" i="87"/>
  <c r="L103" i="87"/>
  <c r="M103" i="87"/>
  <c r="D107" i="87"/>
  <c r="H35" i="87" s="1"/>
  <c r="D109" i="87"/>
  <c r="E109" i="87" s="1"/>
  <c r="F109" i="87" s="1"/>
  <c r="G109" i="87" s="1"/>
  <c r="H109" i="87" s="1"/>
  <c r="I109" i="87" s="1"/>
  <c r="J109" i="87" s="1"/>
  <c r="K109" i="87" s="1"/>
  <c r="L109" i="87" s="1"/>
  <c r="M109" i="87" s="1"/>
  <c r="C110" i="87"/>
  <c r="D110" i="87"/>
  <c r="E110" i="87"/>
  <c r="F110" i="87"/>
  <c r="G110" i="87"/>
  <c r="D112" i="87"/>
  <c r="E112" i="87"/>
  <c r="F112" i="87" s="1"/>
  <c r="D114" i="87"/>
  <c r="E114" i="87"/>
  <c r="F114" i="87" s="1"/>
  <c r="G114" i="87" s="1"/>
  <c r="H114" i="87" s="1"/>
  <c r="I114" i="87" s="1"/>
  <c r="J114" i="87" s="1"/>
  <c r="K114" i="87" s="1"/>
  <c r="L114" i="87" s="1"/>
  <c r="M114" i="87" s="1"/>
  <c r="D116" i="87"/>
  <c r="F39" i="87" s="1"/>
  <c r="E116" i="87"/>
  <c r="F116" i="87" s="1"/>
  <c r="G116" i="87" s="1"/>
  <c r="H116" i="87" s="1"/>
  <c r="I116" i="87" s="1"/>
  <c r="J116" i="87" s="1"/>
  <c r="K116" i="87" s="1"/>
  <c r="L116" i="87" s="1"/>
  <c r="M116" i="87" s="1"/>
  <c r="D118" i="87"/>
  <c r="H40" i="87" s="1"/>
  <c r="E118" i="87"/>
  <c r="F118" i="87" s="1"/>
  <c r="G118" i="87" s="1"/>
  <c r="D120" i="87"/>
  <c r="F41" i="87" s="1"/>
  <c r="E120" i="87"/>
  <c r="F120" i="87" s="1"/>
  <c r="G120" i="87"/>
  <c r="H120" i="87" s="1"/>
  <c r="I120" i="87" s="1"/>
  <c r="J120" i="87" s="1"/>
  <c r="K120" i="87" s="1"/>
  <c r="L120" i="87" s="1"/>
  <c r="M120" i="87" s="1"/>
  <c r="D124" i="87"/>
  <c r="F43" i="87" s="1"/>
  <c r="E124" i="87"/>
  <c r="F124" i="87" s="1"/>
  <c r="G124" i="87"/>
  <c r="H124" i="87" s="1"/>
  <c r="I124" i="87" s="1"/>
  <c r="J124" i="87" s="1"/>
  <c r="K124" i="87" s="1"/>
  <c r="L124" i="87" s="1"/>
  <c r="M124" i="87" s="1"/>
  <c r="D126" i="87"/>
  <c r="H44" i="87" s="1"/>
  <c r="E126" i="87"/>
  <c r="F126" i="87" s="1"/>
  <c r="G126" i="87"/>
  <c r="B127" i="87"/>
  <c r="F45" i="87" s="1"/>
  <c r="B129" i="87"/>
  <c r="B131" i="87"/>
  <c r="F47" i="87" s="1"/>
  <c r="T7" i="81"/>
  <c r="T6" i="81"/>
  <c r="T5" i="81"/>
  <c r="T4" i="81"/>
  <c r="T3" i="81"/>
  <c r="R6" i="81"/>
  <c r="D14" i="9"/>
  <c r="D2" i="87"/>
  <c r="AC21" i="87" l="1"/>
  <c r="AC34" i="87"/>
  <c r="AC42" i="87"/>
  <c r="U42" i="87"/>
  <c r="AA42" i="87"/>
  <c r="H46" i="87"/>
  <c r="F46" i="87"/>
  <c r="J46" i="87"/>
  <c r="U44" i="87"/>
  <c r="AB44" i="87"/>
  <c r="S43" i="87"/>
  <c r="AA43" i="87"/>
  <c r="S41" i="87"/>
  <c r="AA41" i="87"/>
  <c r="S47" i="87"/>
  <c r="AA47" i="87"/>
  <c r="S45" i="87"/>
  <c r="AA45" i="87"/>
  <c r="U40" i="87"/>
  <c r="AB40" i="87"/>
  <c r="S39" i="87"/>
  <c r="AA39" i="87"/>
  <c r="J37" i="87"/>
  <c r="G112" i="87"/>
  <c r="H112" i="87" s="1"/>
  <c r="I112" i="87" s="1"/>
  <c r="J112" i="87" s="1"/>
  <c r="K112" i="87" s="1"/>
  <c r="L112" i="87" s="1"/>
  <c r="M112" i="87" s="1"/>
  <c r="H37" i="87"/>
  <c r="F33" i="87"/>
  <c r="J33" i="87"/>
  <c r="H33" i="87"/>
  <c r="H102" i="87"/>
  <c r="I102" i="87" s="1"/>
  <c r="J102" i="87" s="1"/>
  <c r="K102" i="87" s="1"/>
  <c r="L102" i="87" s="1"/>
  <c r="M102" i="87" s="1"/>
  <c r="H25" i="87"/>
  <c r="F25" i="87"/>
  <c r="J25" i="87"/>
  <c r="G88" i="87"/>
  <c r="H88" i="87" s="1"/>
  <c r="I88" i="87" s="1"/>
  <c r="J88" i="87" s="1"/>
  <c r="K88" i="87" s="1"/>
  <c r="L88" i="87" s="1"/>
  <c r="M88" i="87" s="1"/>
  <c r="H47" i="87"/>
  <c r="H45" i="87"/>
  <c r="J44" i="87"/>
  <c r="F44" i="87"/>
  <c r="H43" i="87"/>
  <c r="H41" i="87"/>
  <c r="J40" i="87"/>
  <c r="F40" i="87"/>
  <c r="H39" i="87"/>
  <c r="F35" i="87"/>
  <c r="U35" i="87"/>
  <c r="AB35" i="87"/>
  <c r="H32" i="87"/>
  <c r="F32" i="87"/>
  <c r="J32" i="87"/>
  <c r="H30" i="87"/>
  <c r="F30" i="87"/>
  <c r="J30" i="87"/>
  <c r="H28" i="87"/>
  <c r="F28" i="87"/>
  <c r="J28" i="87"/>
  <c r="U17" i="87"/>
  <c r="AB17" i="87"/>
  <c r="F14" i="87"/>
  <c r="J14" i="87"/>
  <c r="H14" i="87"/>
  <c r="F12" i="87"/>
  <c r="J12" i="87"/>
  <c r="H12" i="87"/>
  <c r="H11" i="87"/>
  <c r="F11" i="87"/>
  <c r="J11" i="87"/>
  <c r="H9" i="87"/>
  <c r="F9" i="87"/>
  <c r="J9" i="87"/>
  <c r="E107" i="87"/>
  <c r="F107" i="87" s="1"/>
  <c r="G107" i="87" s="1"/>
  <c r="H107" i="87" s="1"/>
  <c r="I107" i="87" s="1"/>
  <c r="J107" i="87" s="1"/>
  <c r="K107" i="87" s="1"/>
  <c r="L107" i="87" s="1"/>
  <c r="M107" i="87" s="1"/>
  <c r="F31" i="87"/>
  <c r="J31" i="87"/>
  <c r="H31" i="87"/>
  <c r="F29" i="87"/>
  <c r="J29" i="87"/>
  <c r="H29" i="87"/>
  <c r="F27" i="87"/>
  <c r="J27" i="87"/>
  <c r="H27" i="87"/>
  <c r="F23" i="87"/>
  <c r="J23" i="87"/>
  <c r="H23" i="87"/>
  <c r="F19" i="87"/>
  <c r="J19" i="87"/>
  <c r="H19" i="87"/>
  <c r="F80" i="87"/>
  <c r="G80" i="87" s="1"/>
  <c r="F17" i="87"/>
  <c r="J17" i="87"/>
  <c r="F15" i="87"/>
  <c r="J15" i="87"/>
  <c r="H15" i="87"/>
  <c r="H13" i="87"/>
  <c r="F13" i="87"/>
  <c r="J13" i="87"/>
  <c r="E70" i="87"/>
  <c r="F70" i="87" s="1"/>
  <c r="G70" i="87" s="1"/>
  <c r="H70" i="87" s="1"/>
  <c r="I70" i="87" s="1"/>
  <c r="J70" i="87" s="1"/>
  <c r="K70" i="87" s="1"/>
  <c r="L70" i="87" s="1"/>
  <c r="M70" i="87" s="1"/>
  <c r="H7" i="87"/>
  <c r="F7" i="87"/>
  <c r="J7" i="87"/>
  <c r="J47" i="87"/>
  <c r="J45" i="87"/>
  <c r="J43" i="87"/>
  <c r="J41" i="87"/>
  <c r="J39" i="87"/>
  <c r="J35" i="87"/>
  <c r="W39" i="87" l="1"/>
  <c r="AC39" i="87"/>
  <c r="W43" i="87"/>
  <c r="AC43" i="87"/>
  <c r="W47" i="87"/>
  <c r="AC47" i="87"/>
  <c r="S7" i="87"/>
  <c r="AA7" i="87"/>
  <c r="S13" i="87"/>
  <c r="AA13" i="87"/>
  <c r="U15" i="87"/>
  <c r="AB15" i="87"/>
  <c r="S15" i="87"/>
  <c r="AA15" i="87"/>
  <c r="S17" i="87"/>
  <c r="AA17" i="87"/>
  <c r="U19" i="87"/>
  <c r="AB19" i="87"/>
  <c r="S19" i="87"/>
  <c r="AA19" i="87"/>
  <c r="W23" i="87"/>
  <c r="AC23" i="87"/>
  <c r="U27" i="87"/>
  <c r="AB27" i="87"/>
  <c r="S27" i="87"/>
  <c r="AA27" i="87"/>
  <c r="W29" i="87"/>
  <c r="AC29" i="87"/>
  <c r="U31" i="87"/>
  <c r="AB31" i="87"/>
  <c r="S31" i="87"/>
  <c r="AA31" i="87"/>
  <c r="W9" i="87"/>
  <c r="AC9" i="87"/>
  <c r="U9" i="87"/>
  <c r="AB9" i="87"/>
  <c r="S11" i="87"/>
  <c r="AA11" i="87"/>
  <c r="U12" i="87"/>
  <c r="AB12" i="87"/>
  <c r="S12" i="87"/>
  <c r="AA12" i="87"/>
  <c r="W14" i="87"/>
  <c r="AC14" i="87"/>
  <c r="W28" i="87"/>
  <c r="AC28" i="87"/>
  <c r="U28" i="87"/>
  <c r="AB28" i="87"/>
  <c r="S30" i="87"/>
  <c r="AA30" i="87"/>
  <c r="W32" i="87"/>
  <c r="AC32" i="87"/>
  <c r="U32" i="87"/>
  <c r="AB32" i="87"/>
  <c r="U39" i="87"/>
  <c r="AB39" i="87"/>
  <c r="W40" i="87"/>
  <c r="AC40" i="87"/>
  <c r="U43" i="87"/>
  <c r="AB43" i="87"/>
  <c r="W44" i="87"/>
  <c r="AC44" i="87"/>
  <c r="U47" i="87"/>
  <c r="AB47" i="87"/>
  <c r="W25" i="87"/>
  <c r="AC25" i="87"/>
  <c r="U25" i="87"/>
  <c r="AB25" i="87"/>
  <c r="U33" i="87"/>
  <c r="AB33" i="87"/>
  <c r="S33" i="87"/>
  <c r="AA33" i="87"/>
  <c r="F37" i="87"/>
  <c r="S46" i="87"/>
  <c r="AA46" i="87"/>
  <c r="AC35" i="87"/>
  <c r="W35" i="87"/>
  <c r="W41" i="87"/>
  <c r="AC41" i="87"/>
  <c r="W45" i="87"/>
  <c r="AC45" i="87"/>
  <c r="W7" i="87"/>
  <c r="AC7" i="87"/>
  <c r="AB7" i="87"/>
  <c r="U7" i="87"/>
  <c r="W13" i="87"/>
  <c r="AC13" i="87"/>
  <c r="U13" i="87"/>
  <c r="AB13" i="87"/>
  <c r="W15" i="87"/>
  <c r="AC15" i="87"/>
  <c r="W17" i="87"/>
  <c r="AC17" i="87"/>
  <c r="W19" i="87"/>
  <c r="AC19" i="87"/>
  <c r="U23" i="87"/>
  <c r="AB23" i="87"/>
  <c r="S23" i="87"/>
  <c r="AA23" i="87"/>
  <c r="W27" i="87"/>
  <c r="AC27" i="87"/>
  <c r="U29" i="87"/>
  <c r="AB29" i="87"/>
  <c r="S29" i="87"/>
  <c r="AA29" i="87"/>
  <c r="W31" i="87"/>
  <c r="AC31" i="87"/>
  <c r="S9" i="87"/>
  <c r="AA9" i="87"/>
  <c r="W11" i="87"/>
  <c r="AC11" i="87"/>
  <c r="U11" i="87"/>
  <c r="AB11" i="87"/>
  <c r="W12" i="87"/>
  <c r="AC12" i="87"/>
  <c r="U14" i="87"/>
  <c r="AB14" i="87"/>
  <c r="S14" i="87"/>
  <c r="AA14" i="87"/>
  <c r="S28" i="87"/>
  <c r="AA28" i="87"/>
  <c r="W30" i="87"/>
  <c r="AC30" i="87"/>
  <c r="U30" i="87"/>
  <c r="AB30" i="87"/>
  <c r="S32" i="87"/>
  <c r="AA32" i="87"/>
  <c r="S35" i="87"/>
  <c r="AA35" i="87"/>
  <c r="S40" i="87"/>
  <c r="AA40" i="87"/>
  <c r="U41" i="87"/>
  <c r="AB41" i="87"/>
  <c r="S44" i="87"/>
  <c r="AA44" i="87"/>
  <c r="U45" i="87"/>
  <c r="AB45" i="87"/>
  <c r="S25" i="87"/>
  <c r="AA25" i="87"/>
  <c r="W33" i="87"/>
  <c r="AC33" i="87"/>
  <c r="U37" i="87"/>
  <c r="AB37" i="87"/>
  <c r="W37" i="87"/>
  <c r="AC37" i="87"/>
  <c r="W46" i="87"/>
  <c r="AC46" i="87"/>
  <c r="U46" i="87"/>
  <c r="AB46" i="87"/>
  <c r="V49" i="87" l="1"/>
  <c r="I49" i="87" s="1"/>
  <c r="T49" i="87"/>
  <c r="G49" i="87" s="1"/>
  <c r="S37" i="87"/>
  <c r="AA37" i="87"/>
  <c r="R49" i="87" s="1"/>
  <c r="E49" i="87" l="1"/>
  <c r="I54" i="87" s="1"/>
  <c r="J54" i="87" s="1"/>
  <c r="R50" i="87"/>
  <c r="G53" i="87"/>
  <c r="H53" i="87" s="1"/>
  <c r="G54" i="87"/>
  <c r="H54" i="87" s="1"/>
  <c r="I53" i="87"/>
  <c r="J53" i="87" s="1"/>
  <c r="C49" i="87" l="1"/>
  <c r="C50" i="87"/>
  <c r="U6" i="1" s="1"/>
  <c r="E53" i="87"/>
  <c r="F53" i="87" s="1"/>
  <c r="E54" i="87"/>
  <c r="F54" i="87" s="1"/>
  <c r="B2" i="87" l="1"/>
  <c r="B3" i="87"/>
  <c r="V9" i="1" l="1"/>
  <c r="U9" i="1"/>
  <c r="Q9" i="1"/>
  <c r="L9" i="1"/>
  <c r="P74" i="83"/>
  <c r="Q72" i="83"/>
  <c r="Q59" i="83"/>
  <c r="K59" i="83"/>
  <c r="P61" i="83" s="1"/>
  <c r="F59" i="83"/>
  <c r="Q58" i="83"/>
  <c r="Q51" i="83"/>
  <c r="J50" i="83"/>
  <c r="J51" i="83" s="1"/>
  <c r="M47" i="83"/>
  <c r="D46" i="83"/>
  <c r="F33" i="83"/>
  <c r="F61" i="83" s="1"/>
  <c r="F31" i="83"/>
  <c r="F23" i="83"/>
  <c r="D24" i="83" s="1"/>
  <c r="D23" i="83"/>
  <c r="D22" i="83"/>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L15" i="81"/>
  <c r="L268" i="81"/>
  <c r="L267" i="81"/>
  <c r="L266" i="81"/>
  <c r="L265" i="81"/>
  <c r="L36" i="81"/>
  <c r="L35" i="81"/>
  <c r="L34" i="81"/>
  <c r="L33" i="81"/>
  <c r="J268" i="81"/>
  <c r="J267" i="81"/>
  <c r="J266" i="81"/>
  <c r="J265" i="81"/>
  <c r="J36" i="81"/>
  <c r="J35" i="81"/>
  <c r="J34" i="81"/>
  <c r="J33" i="81"/>
  <c r="L32" i="81"/>
  <c r="L31" i="81"/>
  <c r="L30" i="81"/>
  <c r="L29" i="81"/>
  <c r="J32" i="81"/>
  <c r="J31" i="81"/>
  <c r="J30" i="81"/>
  <c r="J29" i="81"/>
  <c r="L28" i="81"/>
  <c r="L27" i="81"/>
  <c r="L26" i="81"/>
  <c r="L25" i="81"/>
  <c r="L23" i="81"/>
  <c r="J28" i="81"/>
  <c r="J27" i="81"/>
  <c r="J26" i="81"/>
  <c r="J25" i="81"/>
  <c r="L24" i="81"/>
  <c r="L22" i="81"/>
  <c r="L21" i="81"/>
  <c r="L20" i="81"/>
  <c r="J24" i="81"/>
  <c r="J23" i="81"/>
  <c r="J22" i="81"/>
  <c r="J21" i="81"/>
  <c r="J20" i="81"/>
  <c r="L19" i="81"/>
  <c r="J19" i="81"/>
  <c r="L18" i="81"/>
  <c r="J18" i="81"/>
  <c r="L17" i="81"/>
  <c r="J17" i="81"/>
  <c r="L16" i="81"/>
  <c r="J16" i="81"/>
  <c r="J15" i="81"/>
  <c r="L14" i="81"/>
  <c r="J14" i="81"/>
  <c r="L13" i="81"/>
  <c r="J13" i="81"/>
  <c r="L12" i="81"/>
  <c r="J12" i="81"/>
  <c r="L11" i="81"/>
  <c r="J11" i="81"/>
  <c r="L10" i="81"/>
  <c r="J10" i="81"/>
  <c r="L9" i="81"/>
  <c r="J9" i="81"/>
  <c r="L8" i="81"/>
  <c r="J8" i="81"/>
  <c r="L7" i="81"/>
  <c r="L274" i="81" s="1"/>
  <c r="I13" i="3" s="1"/>
  <c r="F19" i="6" s="1"/>
  <c r="J7" i="81"/>
  <c r="L6" i="81"/>
  <c r="L272" i="81" s="1"/>
  <c r="K14" i="3" s="1"/>
  <c r="F20" i="6" s="1"/>
  <c r="L5" i="81"/>
  <c r="L4" i="81"/>
  <c r="L3" i="81"/>
  <c r="L275" i="81" l="1"/>
  <c r="M15" i="3" s="1"/>
  <c r="G21" i="6" s="1"/>
  <c r="D38" i="43" s="1"/>
  <c r="L273" i="81"/>
  <c r="O16" i="3"/>
  <c r="G22" i="6" s="1"/>
  <c r="D24" i="82"/>
  <c r="P61" i="82"/>
  <c r="D22" i="82"/>
  <c r="J51" i="82"/>
  <c r="L269" i="81"/>
  <c r="L276" i="81" l="1"/>
  <c r="B7" i="4"/>
  <c r="D3" i="4"/>
  <c r="F113" i="80" l="1"/>
  <c r="L108" i="80"/>
  <c r="H108" i="80"/>
  <c r="D108" i="80"/>
  <c r="L100" i="80"/>
  <c r="H100" i="80"/>
  <c r="D100" i="80"/>
  <c r="N99" i="80"/>
  <c r="N108" i="80" s="1"/>
  <c r="M99" i="80"/>
  <c r="L99" i="80"/>
  <c r="K99" i="80"/>
  <c r="J99" i="80"/>
  <c r="J108" i="80" s="1"/>
  <c r="I99" i="80"/>
  <c r="H99" i="80"/>
  <c r="G99" i="80"/>
  <c r="F99" i="80"/>
  <c r="F108" i="80" s="1"/>
  <c r="E99" i="80"/>
  <c r="D99" i="80"/>
  <c r="C99" i="80"/>
  <c r="M88" i="80"/>
  <c r="N88" i="80" s="1"/>
  <c r="K88" i="80"/>
  <c r="J88" i="80"/>
  <c r="D88" i="80"/>
  <c r="B88" i="80"/>
  <c r="N87" i="80"/>
  <c r="M87" i="80"/>
  <c r="K87" i="80"/>
  <c r="J87" i="80" s="1"/>
  <c r="D87" i="80"/>
  <c r="N86" i="80"/>
  <c r="M86" i="80"/>
  <c r="K86" i="80"/>
  <c r="J86" i="80" s="1"/>
  <c r="D86" i="80"/>
  <c r="B86" i="80"/>
  <c r="M85" i="80"/>
  <c r="N85" i="80" s="1"/>
  <c r="K85" i="80"/>
  <c r="J85" i="80"/>
  <c r="D85" i="80"/>
  <c r="B85" i="80"/>
  <c r="N84" i="80"/>
  <c r="M84" i="80"/>
  <c r="K84" i="80"/>
  <c r="J84" i="80" s="1"/>
  <c r="D84" i="80"/>
  <c r="B84" i="80"/>
  <c r="M83" i="80"/>
  <c r="N83" i="80" s="1"/>
  <c r="K83" i="80"/>
  <c r="J83" i="80"/>
  <c r="D83" i="80"/>
  <c r="B83" i="80"/>
  <c r="N82" i="80"/>
  <c r="M82" i="80"/>
  <c r="K82" i="80"/>
  <c r="J82" i="80" s="1"/>
  <c r="D82" i="80"/>
  <c r="B82" i="80"/>
  <c r="M81" i="80"/>
  <c r="N81" i="80" s="1"/>
  <c r="K81" i="80"/>
  <c r="J81" i="80"/>
  <c r="F81" i="80"/>
  <c r="H87" i="80" s="1"/>
  <c r="D81" i="80"/>
  <c r="E81" i="80" s="1"/>
  <c r="B79" i="80" s="1"/>
  <c r="B81" i="80"/>
  <c r="M78" i="80"/>
  <c r="N78" i="80" s="1"/>
  <c r="K78" i="80"/>
  <c r="J78" i="80"/>
  <c r="D78" i="80"/>
  <c r="M77" i="80"/>
  <c r="N77" i="80" s="1"/>
  <c r="K77" i="80"/>
  <c r="J77" i="80"/>
  <c r="D77" i="80"/>
  <c r="B77" i="80"/>
  <c r="N76" i="80"/>
  <c r="M76" i="80"/>
  <c r="K76" i="80"/>
  <c r="J76" i="80" s="1"/>
  <c r="D76" i="80" s="1"/>
  <c r="N75" i="80"/>
  <c r="M75" i="80"/>
  <c r="K75" i="80"/>
  <c r="J75" i="80" s="1"/>
  <c r="D75" i="80" s="1"/>
  <c r="B75" i="80"/>
  <c r="M74" i="80"/>
  <c r="N74" i="80" s="1"/>
  <c r="K74" i="80"/>
  <c r="J74" i="80"/>
  <c r="D74" i="80"/>
  <c r="B74" i="80"/>
  <c r="N73" i="80"/>
  <c r="M73" i="80"/>
  <c r="K73" i="80"/>
  <c r="J73" i="80" s="1"/>
  <c r="D73" i="80" s="1"/>
  <c r="B73" i="80"/>
  <c r="M72" i="80"/>
  <c r="N72" i="80" s="1"/>
  <c r="K72" i="80"/>
  <c r="J72" i="80"/>
  <c r="D72" i="80"/>
  <c r="B72" i="80"/>
  <c r="N71" i="80"/>
  <c r="M71" i="80"/>
  <c r="K71" i="80"/>
  <c r="J71" i="80" s="1"/>
  <c r="D71" i="80" s="1"/>
  <c r="B71" i="80"/>
  <c r="M70" i="80"/>
  <c r="N70" i="80" s="1"/>
  <c r="K70" i="80"/>
  <c r="J70" i="80"/>
  <c r="F70" i="80"/>
  <c r="H76" i="80" s="1"/>
  <c r="D70" i="80"/>
  <c r="E70" i="80" s="1"/>
  <c r="B68" i="80" s="1"/>
  <c r="B70" i="80"/>
  <c r="M67" i="80"/>
  <c r="N67" i="80" s="1"/>
  <c r="K67" i="80"/>
  <c r="J67" i="80"/>
  <c r="D67" i="80"/>
  <c r="B67" i="80"/>
  <c r="N66" i="80"/>
  <c r="M66" i="80"/>
  <c r="K66" i="80"/>
  <c r="J66" i="80" s="1"/>
  <c r="D66" i="80" s="1"/>
  <c r="B66" i="80"/>
  <c r="M65" i="80"/>
  <c r="N65" i="80" s="1"/>
  <c r="K65" i="80"/>
  <c r="J65" i="80"/>
  <c r="D65" i="80"/>
  <c r="B65" i="80"/>
  <c r="N64" i="80"/>
  <c r="M64" i="80"/>
  <c r="K64" i="80"/>
  <c r="J64" i="80" s="1"/>
  <c r="D64" i="80" s="1"/>
  <c r="N63" i="80"/>
  <c r="M63" i="80"/>
  <c r="K63" i="80"/>
  <c r="J63" i="80" s="1"/>
  <c r="B63" i="80"/>
  <c r="M62" i="80"/>
  <c r="N62" i="80" s="1"/>
  <c r="K62" i="80"/>
  <c r="J62" i="80"/>
  <c r="D62" i="80"/>
  <c r="M61" i="80"/>
  <c r="N61" i="80" s="1"/>
  <c r="K61" i="80"/>
  <c r="J61" i="80"/>
  <c r="D61" i="80"/>
  <c r="B61" i="80"/>
  <c r="N60" i="80"/>
  <c r="M60" i="80"/>
  <c r="K60" i="80"/>
  <c r="J60" i="80" s="1"/>
  <c r="B60" i="80"/>
  <c r="M59" i="80"/>
  <c r="N59" i="80" s="1"/>
  <c r="K59" i="80"/>
  <c r="J59" i="80"/>
  <c r="D59" i="80"/>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B52" i="80"/>
  <c r="M51" i="80"/>
  <c r="N51" i="80" s="1"/>
  <c r="K51" i="80"/>
  <c r="J51" i="80"/>
  <c r="D51" i="80"/>
  <c r="M50" i="80"/>
  <c r="N50" i="80" s="1"/>
  <c r="K50" i="80"/>
  <c r="J50" i="80"/>
  <c r="D50" i="80"/>
  <c r="B50" i="80"/>
  <c r="N49" i="80"/>
  <c r="M49" i="80"/>
  <c r="K49" i="80"/>
  <c r="B49" i="80"/>
  <c r="M48" i="80"/>
  <c r="N48" i="80" s="1"/>
  <c r="K48" i="80"/>
  <c r="J48" i="80"/>
  <c r="F48" i="80"/>
  <c r="H49" i="80" s="1"/>
  <c r="D48" i="80"/>
  <c r="B48" i="80"/>
  <c r="H39" i="80"/>
  <c r="H38" i="80"/>
  <c r="H37" i="80"/>
  <c r="H36" i="80"/>
  <c r="H35" i="80"/>
  <c r="H34" i="80"/>
  <c r="H33" i="80"/>
  <c r="D29" i="80"/>
  <c r="J20" i="80"/>
  <c r="I20" i="80"/>
  <c r="M19" i="80"/>
  <c r="I19" i="80"/>
  <c r="G19" i="80"/>
  <c r="C18" i="80"/>
  <c r="P17" i="80"/>
  <c r="O17" i="80"/>
  <c r="N17" i="80"/>
  <c r="G20" i="80" s="1"/>
  <c r="C20" i="80" s="1"/>
  <c r="M17" i="80"/>
  <c r="F15" i="80"/>
  <c r="E15" i="80"/>
  <c r="D15" i="80"/>
  <c r="C15" i="80"/>
  <c r="AH12" i="80"/>
  <c r="AD12" i="80"/>
  <c r="Z12" i="80"/>
  <c r="Y12" i="80"/>
  <c r="C12" i="80"/>
  <c r="Y10" i="80"/>
  <c r="C10" i="80"/>
  <c r="C11" i="80" s="1"/>
  <c r="AJ9" i="80"/>
  <c r="AJ12" i="80" s="1"/>
  <c r="AI9" i="80"/>
  <c r="AI12" i="80" s="1"/>
  <c r="AH9" i="80"/>
  <c r="AH10" i="80" s="1"/>
  <c r="AG9" i="80"/>
  <c r="AG12" i="80" s="1"/>
  <c r="AF9" i="80"/>
  <c r="AF12" i="80" s="1"/>
  <c r="AE9" i="80"/>
  <c r="AE12" i="80" s="1"/>
  <c r="AD9" i="80"/>
  <c r="AD10" i="80" s="1"/>
  <c r="AC9" i="80"/>
  <c r="AC12" i="80" s="1"/>
  <c r="AB9" i="80"/>
  <c r="AB12" i="80" s="1"/>
  <c r="AA9" i="80"/>
  <c r="AA12" i="80" s="1"/>
  <c r="Z9" i="80"/>
  <c r="Z10" i="80" s="1"/>
  <c r="C9" i="80"/>
  <c r="C7" i="80"/>
  <c r="A7" i="80"/>
  <c r="G3" i="80"/>
  <c r="I2" i="80"/>
  <c r="M12" i="80" s="1"/>
  <c r="G2" i="80"/>
  <c r="F39" i="80" s="1"/>
  <c r="D1" i="80"/>
  <c r="M1" i="80" l="1"/>
  <c r="M2" i="80"/>
  <c r="N3" i="80"/>
  <c r="N1" i="80"/>
  <c r="M4" i="80"/>
  <c r="E11" i="80"/>
  <c r="E10" i="80"/>
  <c r="E9" i="80"/>
  <c r="E8" i="80"/>
  <c r="S2" i="80"/>
  <c r="B113" i="80"/>
  <c r="M101" i="80"/>
  <c r="K101" i="80"/>
  <c r="I101" i="80"/>
  <c r="G101" i="80"/>
  <c r="E101" i="80"/>
  <c r="C101" i="80"/>
  <c r="L101" i="80"/>
  <c r="H101" i="80"/>
  <c r="D101" i="80"/>
  <c r="N101" i="80"/>
  <c r="J101" i="80"/>
  <c r="F101" i="80"/>
  <c r="H22" i="80"/>
  <c r="F22" i="80"/>
  <c r="AJ11" i="80"/>
  <c r="AJ13" i="80" s="1"/>
  <c r="AH11" i="80"/>
  <c r="AH13" i="80" s="1"/>
  <c r="S4" i="80"/>
  <c r="M5" i="80"/>
  <c r="S5" i="80"/>
  <c r="M6" i="80"/>
  <c r="S6" i="80"/>
  <c r="N7" i="80"/>
  <c r="X7" i="80"/>
  <c r="N8" i="80"/>
  <c r="N9" i="80"/>
  <c r="M10" i="80"/>
  <c r="AA10" i="80"/>
  <c r="AC10" i="80"/>
  <c r="AE10" i="80"/>
  <c r="AG10" i="80"/>
  <c r="AI10" i="80"/>
  <c r="M11" i="80"/>
  <c r="Y11" i="80"/>
  <c r="AA11" i="80"/>
  <c r="AA13" i="80" s="1"/>
  <c r="AC11" i="80"/>
  <c r="AC13" i="80" s="1"/>
  <c r="AE11" i="80"/>
  <c r="AE13" i="80" s="1"/>
  <c r="AG11" i="80"/>
  <c r="AG13" i="80" s="1"/>
  <c r="C17" i="80"/>
  <c r="I17" i="80"/>
  <c r="P24" i="80"/>
  <c r="P23" i="80"/>
  <c r="P22" i="80"/>
  <c r="O19" i="80"/>
  <c r="C19" i="80"/>
  <c r="M20" i="80"/>
  <c r="E22" i="80"/>
  <c r="J22" i="80"/>
  <c r="F33" i="80"/>
  <c r="F35" i="80"/>
  <c r="F37" i="80"/>
  <c r="F109" i="80"/>
  <c r="J109" i="80"/>
  <c r="N109" i="80"/>
  <c r="D109" i="80"/>
  <c r="L109" i="80"/>
  <c r="H113" i="80"/>
  <c r="J17" i="80"/>
  <c r="H17" i="80"/>
  <c r="E17" i="80"/>
  <c r="N2" i="80"/>
  <c r="M3" i="80"/>
  <c r="S3" i="80"/>
  <c r="N4" i="80"/>
  <c r="N5" i="80"/>
  <c r="C6" i="80"/>
  <c r="N6" i="80"/>
  <c r="F59" i="80" s="1"/>
  <c r="M7" i="80"/>
  <c r="S7" i="80"/>
  <c r="Z7" i="80"/>
  <c r="M8" i="80"/>
  <c r="M9" i="80"/>
  <c r="N10" i="80"/>
  <c r="AB10" i="80"/>
  <c r="AF10" i="80"/>
  <c r="AJ10" i="80"/>
  <c r="N11" i="80"/>
  <c r="Z11" i="80"/>
  <c r="Z13" i="80" s="1"/>
  <c r="AB11" i="80"/>
  <c r="AB13" i="80" s="1"/>
  <c r="AD11" i="80"/>
  <c r="AD13" i="80" s="1"/>
  <c r="AF11" i="80"/>
  <c r="AF13" i="80" s="1"/>
  <c r="AI11" i="80"/>
  <c r="AI13" i="80" s="1"/>
  <c r="N12" i="80"/>
  <c r="Y13" i="80"/>
  <c r="G17" i="80"/>
  <c r="P21" i="80"/>
  <c r="G22" i="80"/>
  <c r="C23" i="80"/>
  <c r="P25" i="80"/>
  <c r="F34" i="80"/>
  <c r="F36" i="80"/>
  <c r="F38" i="80"/>
  <c r="H55" i="80"/>
  <c r="H53" i="80"/>
  <c r="H52" i="80"/>
  <c r="H56" i="80"/>
  <c r="H54" i="80"/>
  <c r="H51" i="80"/>
  <c r="H50" i="80"/>
  <c r="H48" i="80"/>
  <c r="J49" i="80"/>
  <c r="D49" i="80"/>
  <c r="E48" i="80" s="1"/>
  <c r="B46" i="80" s="1"/>
  <c r="H109" i="80"/>
  <c r="D52" i="80"/>
  <c r="D60" i="80"/>
  <c r="D63" i="80"/>
  <c r="E59" i="80" s="1"/>
  <c r="B57" i="80" s="1"/>
  <c r="C24" i="80" s="1"/>
  <c r="H70" i="80"/>
  <c r="H72" i="80"/>
  <c r="H74" i="80"/>
  <c r="H77" i="80"/>
  <c r="H78" i="80"/>
  <c r="H81" i="80"/>
  <c r="H83" i="80"/>
  <c r="H85" i="80"/>
  <c r="H88" i="80"/>
  <c r="F100" i="80"/>
  <c r="J100" i="80"/>
  <c r="N100"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H66" i="80" l="1"/>
  <c r="H64" i="80"/>
  <c r="H63" i="80"/>
  <c r="H60" i="80"/>
  <c r="H67" i="80"/>
  <c r="H65" i="80"/>
  <c r="H62" i="80"/>
  <c r="H61" i="80"/>
  <c r="H59" i="80"/>
  <c r="D22" i="80"/>
  <c r="C21" i="80" s="1"/>
  <c r="C16" i="80"/>
  <c r="C5" i="80" s="1"/>
  <c r="F107" i="80"/>
  <c r="F106" i="80"/>
  <c r="F105" i="80"/>
  <c r="F104" i="80"/>
  <c r="F103" i="80"/>
  <c r="F102" i="80"/>
  <c r="N107" i="80"/>
  <c r="N106" i="80"/>
  <c r="N105" i="80"/>
  <c r="N104" i="80"/>
  <c r="N103" i="80"/>
  <c r="N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I118" i="80"/>
  <c r="J118" i="80" s="1"/>
  <c r="K118" i="80" s="1"/>
  <c r="L118" i="80" s="1"/>
  <c r="M118" i="80" s="1"/>
  <c r="I117" i="80"/>
  <c r="J117" i="80" s="1"/>
  <c r="K117" i="80" s="1"/>
  <c r="L117" i="80" s="1"/>
  <c r="M117" i="80" s="1"/>
  <c r="I116" i="80"/>
  <c r="J116" i="80" s="1"/>
  <c r="K116" i="80" s="1"/>
  <c r="L116" i="80" s="1"/>
  <c r="M116" i="80" s="1"/>
  <c r="I115" i="80"/>
  <c r="J115" i="80" s="1"/>
  <c r="K115" i="80" s="1"/>
  <c r="L115" i="80" s="1"/>
  <c r="M115" i="80" s="1"/>
  <c r="G118" i="80"/>
  <c r="H118" i="80" s="1"/>
  <c r="D113" i="80"/>
  <c r="J107" i="80"/>
  <c r="J106" i="80"/>
  <c r="J105" i="80"/>
  <c r="J104" i="80"/>
  <c r="J103" i="80"/>
  <c r="J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A20" i="3" s="1"/>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L21" i="3" s="1"/>
  <c r="BS21" i="3"/>
  <c r="BT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L25" i="3" s="1"/>
  <c r="BS25" i="3"/>
  <c r="BT25" i="3"/>
  <c r="BB26" i="3"/>
  <c r="BC26" i="3"/>
  <c r="BA26" i="3" s="1"/>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s="1"/>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A64" i="3" s="1"/>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L66" i="3"/>
  <c r="BB67" i="3"/>
  <c r="BC67" i="3"/>
  <c r="BD67" i="3"/>
  <c r="BE67" i="3"/>
  <c r="BF67" i="3"/>
  <c r="BG67" i="3"/>
  <c r="BH67" i="3"/>
  <c r="BI67" i="3"/>
  <c r="BJ67" i="3"/>
  <c r="BK67" i="3"/>
  <c r="BM67" i="3"/>
  <c r="BN67" i="3"/>
  <c r="BL67" i="3" s="1"/>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A72" i="3" s="1"/>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L74" i="3"/>
  <c r="BB75" i="3"/>
  <c r="BC75" i="3"/>
  <c r="BD75" i="3"/>
  <c r="BE75" i="3"/>
  <c r="BF75" i="3"/>
  <c r="BG75" i="3"/>
  <c r="BH75" i="3"/>
  <c r="BI75" i="3"/>
  <c r="BJ75" i="3"/>
  <c r="BK75" i="3"/>
  <c r="BM75" i="3"/>
  <c r="BN75" i="3"/>
  <c r="BL75" i="3" s="1"/>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A80" i="3" s="1"/>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L82" i="3"/>
  <c r="BB83" i="3"/>
  <c r="BC83" i="3"/>
  <c r="BD83" i="3"/>
  <c r="BE83" i="3"/>
  <c r="BF83" i="3"/>
  <c r="BG83" i="3"/>
  <c r="BH83" i="3"/>
  <c r="BI83" i="3"/>
  <c r="BJ83" i="3"/>
  <c r="BK83" i="3"/>
  <c r="BM83" i="3"/>
  <c r="BN83" i="3"/>
  <c r="BL83" i="3" s="1"/>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A88" i="3" s="1"/>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L90" i="3"/>
  <c r="BB91" i="3"/>
  <c r="BC91" i="3"/>
  <c r="BD91" i="3"/>
  <c r="BE91" i="3"/>
  <c r="BF91" i="3"/>
  <c r="BG91" i="3"/>
  <c r="BH91" i="3"/>
  <c r="BI91" i="3"/>
  <c r="BJ91" i="3"/>
  <c r="BK91" i="3"/>
  <c r="BM91" i="3"/>
  <c r="BN91" i="3"/>
  <c r="BL91" i="3" s="1"/>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L92" i="3"/>
  <c r="BB93" i="3"/>
  <c r="BC93" i="3"/>
  <c r="BA93" i="3" s="1"/>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L96" i="3"/>
  <c r="AZ96" i="3" s="1"/>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L98" i="3" s="1"/>
  <c r="AZ98" i="3" s="1"/>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s="1"/>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L102" i="3"/>
  <c r="AZ102" i="3" s="1"/>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L104" i="3"/>
  <c r="AZ104" i="3" s="1"/>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L106" i="3"/>
  <c r="AZ106" i="3" s="1"/>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L108" i="3"/>
  <c r="AZ108" i="3" s="1"/>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L112" i="3"/>
  <c r="AZ112" i="3" s="1"/>
  <c r="BB113" i="3"/>
  <c r="BC113" i="3"/>
  <c r="BA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L114" i="3"/>
  <c r="AZ114" i="3" s="1"/>
  <c r="BB115" i="3"/>
  <c r="BC115" i="3"/>
  <c r="BA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L116" i="3"/>
  <c r="AZ116" i="3" s="1"/>
  <c r="BB117" i="3"/>
  <c r="BC117" i="3"/>
  <c r="BA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L118" i="3"/>
  <c r="AZ118" i="3" s="1"/>
  <c r="BB119" i="3"/>
  <c r="BC119" i="3"/>
  <c r="BA119" i="3" s="1"/>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L130" i="3"/>
  <c r="AZ130" i="3" s="1"/>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L132" i="3"/>
  <c r="AZ132" i="3" s="1"/>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L134" i="3"/>
  <c r="AZ134" i="3" s="1"/>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L136" i="3"/>
  <c r="AZ136" i="3" s="1"/>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c r="AZ138" i="3" s="1"/>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c r="AZ142" i="3" s="1"/>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L144" i="3"/>
  <c r="AZ144" i="3" s="1"/>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L146" i="3"/>
  <c r="AZ146" i="3" s="1"/>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s="1"/>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L152" i="3"/>
  <c r="AZ152" i="3" s="1"/>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L154" i="3"/>
  <c r="AZ154" i="3" s="1"/>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L156" i="3"/>
  <c r="AZ156" i="3" s="1"/>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L158" i="3"/>
  <c r="AZ158" i="3" s="1"/>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c r="AZ160" i="3" s="1"/>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L162" i="3"/>
  <c r="AZ162" i="3" s="1"/>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L164" i="3"/>
  <c r="AZ164" i="3" s="1"/>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L166" i="3"/>
  <c r="AZ166" i="3" s="1"/>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L168" i="3"/>
  <c r="AZ168" i="3" s="1"/>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L170" i="3"/>
  <c r="AZ170" i="3" s="1"/>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c r="AZ173" i="3" s="1"/>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L175" i="3"/>
  <c r="AZ175" i="3" s="1"/>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L177" i="3"/>
  <c r="AZ177" i="3" s="1"/>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L179" i="3"/>
  <c r="AZ179" i="3" s="1"/>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L181" i="3"/>
  <c r="AZ181" i="3" s="1"/>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L183" i="3"/>
  <c r="AZ183" i="3" s="1"/>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L185" i="3"/>
  <c r="AZ185" i="3" s="1"/>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F15" i="78"/>
  <c r="F17" i="78"/>
  <c r="F18" i="78"/>
  <c r="F20" i="78"/>
  <c r="C1" i="73"/>
  <c r="J1" i="73"/>
  <c r="B22" i="1"/>
  <c r="E1" i="73" s="1"/>
  <c r="F23" i="78"/>
  <c r="F21" i="78"/>
  <c r="B43" i="1"/>
  <c r="B41" i="1" s="1"/>
  <c r="C42" i="1"/>
  <c r="L1" i="73"/>
  <c r="F33" i="78"/>
  <c r="B52" i="1"/>
  <c r="F34" i="78" s="1"/>
  <c r="F62" i="78" s="1"/>
  <c r="AE9"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D24" i="77"/>
  <c r="D23" i="77"/>
  <c r="D22" i="77"/>
  <c r="M17" i="77"/>
  <c r="H13" i="3"/>
  <c r="AC13" i="3"/>
  <c r="H14" i="3"/>
  <c r="AC14" i="3"/>
  <c r="H15" i="3"/>
  <c r="AC15" i="3"/>
  <c r="H16" i="3"/>
  <c r="AC16" i="3"/>
  <c r="H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s="1"/>
  <c r="H28" i="3"/>
  <c r="AC28" i="3"/>
  <c r="G28" i="3" s="1"/>
  <c r="H29" i="3"/>
  <c r="AC29" i="3"/>
  <c r="G29" i="3" s="1"/>
  <c r="H30" i="3"/>
  <c r="AC30" i="3"/>
  <c r="G30" i="3" s="1"/>
  <c r="H31" i="3"/>
  <c r="AC31" i="3"/>
  <c r="G31" i="3" s="1"/>
  <c r="H32" i="3"/>
  <c r="AC32" i="3"/>
  <c r="G32" i="3" s="1"/>
  <c r="H33" i="3"/>
  <c r="AC33" i="3"/>
  <c r="G33" i="3" s="1"/>
  <c r="H34" i="3"/>
  <c r="AC34" i="3"/>
  <c r="G34" i="3" s="1"/>
  <c r="H35" i="3"/>
  <c r="AC35" i="3"/>
  <c r="G35" i="3" s="1"/>
  <c r="H36" i="3"/>
  <c r="AC36" i="3"/>
  <c r="G36" i="3" s="1"/>
  <c r="H37" i="3"/>
  <c r="AC37" i="3"/>
  <c r="G37" i="3" s="1"/>
  <c r="H38" i="3"/>
  <c r="AC38" i="3"/>
  <c r="G38" i="3" s="1"/>
  <c r="H39" i="3"/>
  <c r="AC39" i="3"/>
  <c r="G39" i="3" s="1"/>
  <c r="H40" i="3"/>
  <c r="AC40" i="3"/>
  <c r="G40" i="3" s="1"/>
  <c r="H41" i="3"/>
  <c r="AC41" i="3"/>
  <c r="G41" i="3" s="1"/>
  <c r="H42" i="3"/>
  <c r="AC42" i="3"/>
  <c r="G42" i="3" s="1"/>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G60" i="3" s="1"/>
  <c r="H61" i="3"/>
  <c r="AC61" i="3"/>
  <c r="G61" i="3" s="1"/>
  <c r="H62" i="3"/>
  <c r="AC62" i="3"/>
  <c r="G62" i="3"/>
  <c r="H63" i="3"/>
  <c r="AC63" i="3"/>
  <c r="H64" i="3"/>
  <c r="AC64" i="3"/>
  <c r="G64" i="3" s="1"/>
  <c r="H65" i="3"/>
  <c r="AC65" i="3"/>
  <c r="G65" i="3" s="1"/>
  <c r="H66" i="3"/>
  <c r="AC66" i="3"/>
  <c r="G66" i="3"/>
  <c r="H67" i="3"/>
  <c r="AC67" i="3"/>
  <c r="H68" i="3"/>
  <c r="AC68" i="3"/>
  <c r="G68" i="3" s="1"/>
  <c r="H69" i="3"/>
  <c r="AC69" i="3"/>
  <c r="G69" i="3" s="1"/>
  <c r="H70" i="3"/>
  <c r="AC70" i="3"/>
  <c r="G70" i="3"/>
  <c r="H71" i="3"/>
  <c r="AC71" i="3"/>
  <c r="H72" i="3"/>
  <c r="AC72" i="3"/>
  <c r="G72" i="3" s="1"/>
  <c r="H73" i="3"/>
  <c r="AC73" i="3"/>
  <c r="G73" i="3" s="1"/>
  <c r="H74" i="3"/>
  <c r="AC74" i="3"/>
  <c r="G74" i="3"/>
  <c r="H75" i="3"/>
  <c r="AC75" i="3"/>
  <c r="H76" i="3"/>
  <c r="AC76" i="3"/>
  <c r="G76" i="3" s="1"/>
  <c r="H77" i="3"/>
  <c r="AC77" i="3"/>
  <c r="G77" i="3" s="1"/>
  <c r="H78" i="3"/>
  <c r="AC78" i="3"/>
  <c r="G78" i="3"/>
  <c r="H79" i="3"/>
  <c r="AC79" i="3"/>
  <c r="H80" i="3"/>
  <c r="AC80" i="3"/>
  <c r="G80" i="3" s="1"/>
  <c r="H81" i="3"/>
  <c r="AC81" i="3"/>
  <c r="G81" i="3" s="1"/>
  <c r="H82" i="3"/>
  <c r="AC82" i="3"/>
  <c r="G82" i="3"/>
  <c r="H83" i="3"/>
  <c r="AC83" i="3"/>
  <c r="H84" i="3"/>
  <c r="AC84" i="3"/>
  <c r="G84" i="3" s="1"/>
  <c r="H85" i="3"/>
  <c r="AC85" i="3"/>
  <c r="G85" i="3" s="1"/>
  <c r="H86" i="3"/>
  <c r="AC86" i="3"/>
  <c r="G86" i="3"/>
  <c r="H87" i="3"/>
  <c r="AC87" i="3"/>
  <c r="H88" i="3"/>
  <c r="AC88" i="3"/>
  <c r="G88" i="3" s="1"/>
  <c r="H89" i="3"/>
  <c r="AC89" i="3"/>
  <c r="G89" i="3" s="1"/>
  <c r="H90" i="3"/>
  <c r="AC90" i="3"/>
  <c r="G90" i="3" s="1"/>
  <c r="H91" i="3"/>
  <c r="AC91" i="3"/>
  <c r="G91" i="3" s="1"/>
  <c r="H92" i="3"/>
  <c r="AC92" i="3"/>
  <c r="G92" i="3" s="1"/>
  <c r="H93" i="3"/>
  <c r="AC93" i="3"/>
  <c r="G93" i="3" s="1"/>
  <c r="H94" i="3"/>
  <c r="AC94" i="3"/>
  <c r="G94" i="3" s="1"/>
  <c r="H95" i="3"/>
  <c r="AC95" i="3"/>
  <c r="G95" i="3" s="1"/>
  <c r="H96" i="3"/>
  <c r="AC96" i="3"/>
  <c r="G96" i="3" s="1"/>
  <c r="H97" i="3"/>
  <c r="AC97" i="3"/>
  <c r="G97" i="3" s="1"/>
  <c r="H98" i="3"/>
  <c r="AC98" i="3"/>
  <c r="G98" i="3" s="1"/>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s="1"/>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C21" i="69"/>
  <c r="F20" i="69"/>
  <c r="E10" i="69"/>
  <c r="E9" i="69"/>
  <c r="F7" i="69"/>
  <c r="C7" i="69" s="1"/>
  <c r="AC21" i="37"/>
  <c r="W21" i="37"/>
  <c r="AC21" i="34"/>
  <c r="W21" i="34"/>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s="1"/>
  <c r="M66" i="43"/>
  <c r="N66" i="43" s="1"/>
  <c r="K66" i="43"/>
  <c r="J66" i="43" s="1"/>
  <c r="D66" i="43" s="1"/>
  <c r="M65" i="43"/>
  <c r="N65" i="43"/>
  <c r="K65" i="43"/>
  <c r="J65" i="43"/>
  <c r="D65" i="43" s="1"/>
  <c r="M64" i="43"/>
  <c r="N64" i="43" s="1"/>
  <c r="K64" i="43"/>
  <c r="J64" i="43" s="1"/>
  <c r="D64" i="43" s="1"/>
  <c r="M63" i="43"/>
  <c r="N63" i="43"/>
  <c r="K63" i="43"/>
  <c r="J63" i="43"/>
  <c r="D63" i="43" s="1"/>
  <c r="M62" i="43"/>
  <c r="N62" i="43" s="1"/>
  <c r="K62" i="43"/>
  <c r="D62" i="43" s="1"/>
  <c r="M61" i="43"/>
  <c r="N61" i="43"/>
  <c r="K61" i="43"/>
  <c r="J61" i="43"/>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A11" i="1"/>
  <c r="A12" i="1"/>
  <c r="A13" i="1"/>
  <c r="F3" i="35"/>
  <c r="B11" i="1"/>
  <c r="E11" i="1"/>
  <c r="B7" i="1"/>
  <c r="E7" i="1"/>
  <c r="K10"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M10" i="1"/>
  <c r="O10" i="1" s="1"/>
  <c r="P10" i="1" s="1"/>
  <c r="B23" i="1"/>
  <c r="D78" i="9"/>
  <c r="E19" i="6"/>
  <c r="K6" i="1" s="1"/>
  <c r="E20" i="6"/>
  <c r="E21" i="6"/>
  <c r="K8" i="1" s="1"/>
  <c r="M8" i="1" s="1"/>
  <c r="O8" i="1" s="1"/>
  <c r="P8" i="1" s="1"/>
  <c r="F23" i="15"/>
  <c r="D24" i="15"/>
  <c r="O13" i="1"/>
  <c r="P13" i="1" s="1"/>
  <c r="E22" i="6"/>
  <c r="K9" i="1" s="1"/>
  <c r="M9" i="1" s="1"/>
  <c r="E23" i="6"/>
  <c r="E24" i="6"/>
  <c r="E25" i="6"/>
  <c r="E26" i="6"/>
  <c r="BC10" i="3"/>
  <c r="BD10" i="3"/>
  <c r="BB10" i="3"/>
  <c r="I5" i="3"/>
  <c r="AD5" i="3"/>
  <c r="AH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BO5" i="3"/>
  <c r="BM5" i="3"/>
  <c r="F29" i="6" s="1"/>
  <c r="BJ5" i="3"/>
  <c r="BH5" i="3"/>
  <c r="BF5" i="3"/>
  <c r="BD5" i="3"/>
  <c r="BS5" i="3"/>
  <c r="BP5" i="3"/>
  <c r="BN5" i="3"/>
  <c r="BK5" i="3"/>
  <c r="BI5" i="3"/>
  <c r="BG5" i="3"/>
  <c r="BE5" i="3"/>
  <c r="BC5" i="3"/>
  <c r="BT5" i="3"/>
  <c r="BB5" i="3"/>
  <c r="E8" i="6"/>
  <c r="F27" i="6" s="1"/>
  <c r="U36" i="40"/>
  <c r="F36" i="43"/>
  <c r="F81" i="43"/>
  <c r="H83" i="43" s="1"/>
  <c r="N7" i="43"/>
  <c r="F70" i="43"/>
  <c r="H73" i="43" s="1"/>
  <c r="M6" i="43"/>
  <c r="F39" i="43"/>
  <c r="F35" i="43"/>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s="1"/>
  <c r="D93" i="9"/>
  <c r="G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Q12" i="1" s="1"/>
  <c r="R12" i="1"/>
  <c r="B12" i="1"/>
  <c r="E12" i="1"/>
  <c r="S10" i="1"/>
  <c r="AQ10" i="1" s="1"/>
  <c r="R10" i="1"/>
  <c r="B10" i="1"/>
  <c r="E10" i="1"/>
  <c r="D1" i="66"/>
  <c r="E10" i="66"/>
  <c r="K12" i="1"/>
  <c r="M12" i="1" s="1"/>
  <c r="O12" i="1" s="1"/>
  <c r="P12" i="1" s="1"/>
  <c r="S13" i="1"/>
  <c r="AR13" i="1" s="1"/>
  <c r="R13" i="1"/>
  <c r="S11" i="1"/>
  <c r="AQ11" i="1" s="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S42" i="33"/>
  <c r="J35" i="33"/>
  <c r="AC35" i="33" s="1"/>
  <c r="S37" i="33"/>
  <c r="AA37" i="33"/>
  <c r="S39" i="33"/>
  <c r="S46" i="33"/>
  <c r="W43" i="33"/>
  <c r="S43" i="33"/>
  <c r="H27" i="33"/>
  <c r="AB27" i="33" s="1"/>
  <c r="J23" i="33"/>
  <c r="W23" i="33" s="1"/>
  <c r="H23" i="33"/>
  <c r="U23" i="33" s="1"/>
  <c r="F19" i="33"/>
  <c r="S19" i="33" s="1"/>
  <c r="W19" i="33"/>
  <c r="J17" i="33"/>
  <c r="AC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E10" i="6"/>
  <c r="E11" i="6"/>
  <c r="E61" i="39" s="1"/>
  <c r="J56" i="9"/>
  <c r="J57" i="9" s="1"/>
  <c r="J59" i="9" s="1"/>
  <c r="J61" i="9" s="1"/>
  <c r="A24" i="51"/>
  <c r="B18" i="72" s="1"/>
  <c r="U29" i="34"/>
  <c r="E14" i="6"/>
  <c r="E64" i="39" s="1"/>
  <c r="E5" i="6"/>
  <c r="D9" i="11" s="1"/>
  <c r="C9" i="11" s="1"/>
  <c r="E32" i="6"/>
  <c r="L19" i="6"/>
  <c r="G1" i="68"/>
  <c r="K1" i="12"/>
  <c r="AR12" i="1"/>
  <c r="T12" i="1"/>
  <c r="E19" i="69"/>
  <c r="E19" i="68"/>
  <c r="E19" i="11"/>
  <c r="G41" i="69"/>
  <c r="G22" i="69"/>
  <c r="G41" i="68"/>
  <c r="G22" i="68"/>
  <c r="G27" i="12"/>
  <c r="G26" i="12"/>
  <c r="G41" i="11"/>
  <c r="G22" i="11"/>
  <c r="G25" i="12"/>
  <c r="C100" i="43"/>
  <c r="C7" i="43"/>
  <c r="E81" i="43"/>
  <c r="B79" i="43"/>
  <c r="E48" i="43"/>
  <c r="B46" i="43"/>
  <c r="E70" i="43"/>
  <c r="B68" i="43"/>
  <c r="F100" i="43"/>
  <c r="D9" i="53"/>
  <c r="B25" i="72"/>
  <c r="B24" i="72"/>
  <c r="G6" i="1"/>
  <c r="H85" i="43"/>
  <c r="H81" i="43"/>
  <c r="H84" i="43"/>
  <c r="H88" i="43"/>
  <c r="H78" i="43"/>
  <c r="H70" i="43"/>
  <c r="H71" i="43"/>
  <c r="F33" i="43"/>
  <c r="F34" i="43"/>
  <c r="N6" i="43"/>
  <c r="F59" i="43" s="1"/>
  <c r="C6" i="43"/>
  <c r="N3" i="43"/>
  <c r="F38" i="43"/>
  <c r="M9" i="43"/>
  <c r="N5" i="43"/>
  <c r="M12"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T35" i="4"/>
  <c r="A19" i="51"/>
  <c r="B14" i="72" s="1"/>
  <c r="C46" i="36"/>
  <c r="D46" i="36" s="1"/>
  <c r="C59" i="34"/>
  <c r="D59" i="34"/>
  <c r="C52" i="37"/>
  <c r="D52" i="37"/>
  <c r="A4" i="51"/>
  <c r="B6" i="72"/>
  <c r="C48" i="35"/>
  <c r="D48" i="35"/>
  <c r="E48" i="35" s="1"/>
  <c r="C58" i="21"/>
  <c r="D58" i="21"/>
  <c r="E58" i="21" s="1"/>
  <c r="H76" i="43"/>
  <c r="H72" i="43"/>
  <c r="H77" i="43"/>
  <c r="L20" i="6"/>
  <c r="E56" i="39"/>
  <c r="E51" i="40"/>
  <c r="B6" i="1"/>
  <c r="E6"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5" i="49"/>
  <c r="J53" i="67"/>
  <c r="AQ13" i="1"/>
  <c r="P24" i="43"/>
  <c r="B66" i="40" s="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27" i="33"/>
  <c r="W27" i="33" s="1"/>
  <c r="F23" i="33"/>
  <c r="AA23" i="33" s="1"/>
  <c r="H19" i="33"/>
  <c r="AB19" i="33" s="1"/>
  <c r="H17" i="33"/>
  <c r="U17" i="33" s="1"/>
  <c r="F17" i="33"/>
  <c r="AA17" i="33" s="1"/>
  <c r="AC37" i="21"/>
  <c r="U33" i="21"/>
  <c r="S37" i="21"/>
  <c r="AA23" i="21"/>
  <c r="AB15" i="21"/>
  <c r="J23" i="21"/>
  <c r="F85" i="21"/>
  <c r="G85" i="21"/>
  <c r="H23" i="21"/>
  <c r="S13" i="21"/>
  <c r="D6" i="52"/>
  <c r="D121" i="9"/>
  <c r="D7" i="52"/>
  <c r="K120" i="9"/>
  <c r="P21" i="43"/>
  <c r="C19" i="43"/>
  <c r="R22" i="31"/>
  <c r="B21" i="31"/>
  <c r="O19" i="43"/>
  <c r="P22" i="43"/>
  <c r="P25" i="43"/>
  <c r="E52" i="37"/>
  <c r="F58" i="21"/>
  <c r="G58" i="21" s="1"/>
  <c r="F48" i="35"/>
  <c r="G48" i="35" s="1"/>
  <c r="H48" i="35"/>
  <c r="I48" i="35" s="1"/>
  <c r="J48" i="35" s="1"/>
  <c r="E59" i="34"/>
  <c r="F59" i="34" s="1"/>
  <c r="C65" i="40"/>
  <c r="D63" i="40"/>
  <c r="AP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G59" i="34"/>
  <c r="H59" i="34" s="1"/>
  <c r="I59" i="34" s="1"/>
  <c r="H58" i="21"/>
  <c r="I58" i="21" s="1"/>
  <c r="J58" i="21"/>
  <c r="K58" i="21" s="1"/>
  <c r="L58" i="21" s="1"/>
  <c r="E63" i="40"/>
  <c r="D65" i="40"/>
  <c r="F1" i="67"/>
  <c r="Q52" i="67"/>
  <c r="AC11" i="37"/>
  <c r="W11" i="37"/>
  <c r="W11" i="34"/>
  <c r="AC11" i="34"/>
  <c r="C13" i="12"/>
  <c r="F63" i="40"/>
  <c r="E65" i="40"/>
  <c r="G63" i="40"/>
  <c r="F65" i="40"/>
  <c r="H63" i="40"/>
  <c r="G65" i="40"/>
  <c r="I63" i="40"/>
  <c r="H65" i="40"/>
  <c r="J63" i="40"/>
  <c r="I65" i="40"/>
  <c r="K63" i="40"/>
  <c r="L63" i="40" s="1"/>
  <c r="J65" i="40"/>
  <c r="K65" i="40"/>
  <c r="AG6" i="1"/>
  <c r="H109" i="9"/>
  <c r="H110" i="9"/>
  <c r="D18" i="53" s="1"/>
  <c r="B35" i="72" s="1"/>
  <c r="D124" i="9"/>
  <c r="D16" i="53"/>
  <c r="B34" i="72"/>
  <c r="D10" i="52"/>
  <c r="H14" i="74"/>
  <c r="D17" i="53"/>
  <c r="B36" i="72"/>
  <c r="D125" i="9"/>
  <c r="D11" i="52"/>
  <c r="B7" i="74"/>
  <c r="J7" i="33"/>
  <c r="W7" i="33" s="1"/>
  <c r="F7" i="33"/>
  <c r="S7" i="33" s="1"/>
  <c r="H7" i="33"/>
  <c r="AB7" i="33" s="1"/>
  <c r="H112" i="9"/>
  <c r="D21" i="53"/>
  <c r="B39" i="72"/>
  <c r="H111" i="9"/>
  <c r="D126" i="9"/>
  <c r="D19" i="53"/>
  <c r="D59" i="9"/>
  <c r="M55" i="9"/>
  <c r="B38" i="72"/>
  <c r="D20" i="53"/>
  <c r="B40" i="72"/>
  <c r="I14" i="74"/>
  <c r="B8" i="74"/>
  <c r="D127" i="9"/>
  <c r="D13" i="52"/>
  <c r="D12" i="52"/>
  <c r="M29" i="78"/>
  <c r="M6" i="67"/>
  <c r="D2" i="37"/>
  <c r="B13" i="76"/>
  <c r="M8" i="67"/>
  <c r="F6" i="67"/>
  <c r="M28" i="78"/>
  <c r="M8" i="77"/>
  <c r="F43" i="77"/>
  <c r="F20" i="31"/>
  <c r="F35" i="67"/>
  <c r="D4" i="73"/>
  <c r="M6" i="15"/>
  <c r="M29" i="67"/>
  <c r="M22" i="77"/>
  <c r="F42" i="67"/>
  <c r="M9" i="77"/>
  <c r="D5" i="73"/>
  <c r="M23" i="77"/>
  <c r="F9" i="77"/>
  <c r="L47" i="15"/>
  <c r="E2" i="68"/>
  <c r="M21" i="77"/>
  <c r="M6" i="77"/>
  <c r="M28" i="77"/>
  <c r="F3" i="73"/>
  <c r="F6" i="78"/>
  <c r="M28" i="15"/>
  <c r="F36" i="78"/>
  <c r="J15" i="78"/>
  <c r="J15" i="15"/>
  <c r="F7" i="67"/>
  <c r="F8" i="15"/>
  <c r="F9" i="78"/>
  <c r="D34" i="9"/>
  <c r="F43" i="78"/>
  <c r="F37" i="67"/>
  <c r="F26" i="67"/>
  <c r="AO13" i="1"/>
  <c r="D35" i="9"/>
  <c r="E2" i="69"/>
  <c r="M27" i="77"/>
  <c r="F5" i="73"/>
  <c r="F26" i="77"/>
  <c r="F40" i="67"/>
  <c r="M26" i="77"/>
  <c r="M8" i="15"/>
  <c r="F38" i="78"/>
  <c r="F37" i="78"/>
  <c r="D2" i="34"/>
  <c r="F36" i="77"/>
  <c r="F42" i="77"/>
  <c r="E12" i="76"/>
  <c r="B8" i="76"/>
  <c r="F40" i="15"/>
  <c r="F16" i="15"/>
  <c r="F35" i="78"/>
  <c r="L47" i="78"/>
  <c r="F13" i="77"/>
  <c r="F42" i="15"/>
  <c r="E9" i="76"/>
  <c r="M24" i="67"/>
  <c r="F26" i="78"/>
  <c r="M27" i="78"/>
  <c r="F4" i="73"/>
  <c r="F36" i="67"/>
  <c r="M24" i="77"/>
  <c r="E13" i="76"/>
  <c r="C76" i="67"/>
  <c r="F13" i="15"/>
  <c r="D7" i="73"/>
  <c r="L48" i="67"/>
  <c r="M24" i="15"/>
  <c r="M26" i="67"/>
  <c r="C76" i="15"/>
  <c r="E8" i="76"/>
  <c r="D6" i="73"/>
  <c r="F36" i="15"/>
  <c r="D2" i="21"/>
  <c r="F13" i="67"/>
  <c r="M9" i="67"/>
  <c r="F42" i="78"/>
  <c r="F8" i="77"/>
  <c r="M29" i="77"/>
  <c r="F16" i="77"/>
  <c r="F43" i="15"/>
  <c r="F41" i="78"/>
  <c r="F9" i="15"/>
  <c r="L48" i="15"/>
  <c r="AO11" i="1"/>
  <c r="AO12" i="1"/>
  <c r="F7" i="78"/>
  <c r="M22" i="67"/>
  <c r="M23" i="15"/>
  <c r="M27" i="15"/>
  <c r="M27" i="67"/>
  <c r="F37" i="77"/>
  <c r="F35" i="77"/>
  <c r="AO10" i="1"/>
  <c r="D2" i="33"/>
  <c r="F13" i="78"/>
  <c r="F38" i="67"/>
  <c r="M9" i="78"/>
  <c r="M8" i="78"/>
  <c r="M21" i="67"/>
  <c r="F38" i="77"/>
  <c r="C76" i="78"/>
  <c r="B9" i="76"/>
  <c r="M6" i="78"/>
  <c r="L48" i="78"/>
  <c r="E10" i="76"/>
  <c r="L47" i="67"/>
  <c r="F26" i="15"/>
  <c r="F43" i="67"/>
  <c r="D3" i="73"/>
  <c r="F6" i="73"/>
  <c r="M22" i="15"/>
  <c r="E7" i="76"/>
  <c r="B7" i="76"/>
  <c r="F37" i="15"/>
  <c r="J15" i="67"/>
  <c r="B12" i="76"/>
  <c r="M24" i="78"/>
  <c r="F16" i="67"/>
  <c r="F41" i="67"/>
  <c r="F41" i="77"/>
  <c r="F40" i="77"/>
  <c r="F8" i="67"/>
  <c r="L48" i="77"/>
  <c r="C76" i="77"/>
  <c r="B10" i="76"/>
  <c r="M9" i="15"/>
  <c r="F8" i="78"/>
  <c r="F6" i="77"/>
  <c r="M26" i="15"/>
  <c r="M21" i="78"/>
  <c r="F7" i="15"/>
  <c r="F38" i="15"/>
  <c r="M22" i="78"/>
  <c r="D2" i="35"/>
  <c r="M23" i="78"/>
  <c r="L47" i="77"/>
  <c r="D2" i="79"/>
  <c r="B11" i="76"/>
  <c r="F6" i="15"/>
  <c r="M26" i="78"/>
  <c r="F7" i="77"/>
  <c r="M29" i="15"/>
  <c r="J15" i="77"/>
  <c r="F40" i="78"/>
  <c r="F7" i="73"/>
  <c r="F16" i="78"/>
  <c r="E11" i="76"/>
  <c r="M28" i="67"/>
  <c r="F9" i="67"/>
  <c r="AO9" i="1"/>
  <c r="D2" i="36"/>
  <c r="M23" i="67"/>
  <c r="AC23" i="33" l="1"/>
  <c r="W17" i="33"/>
  <c r="S17" i="33"/>
  <c r="E11" i="43"/>
  <c r="E9" i="43"/>
  <c r="E10" i="43"/>
  <c r="E8" i="43"/>
  <c r="G39" i="43" s="1"/>
  <c r="I39" i="43" s="1"/>
  <c r="M4" i="43"/>
  <c r="M5" i="43"/>
  <c r="N12" i="43"/>
  <c r="F37" i="43"/>
  <c r="N11" i="43"/>
  <c r="M10" i="43"/>
  <c r="M2" i="43"/>
  <c r="M7" i="43"/>
  <c r="G17" i="43"/>
  <c r="C17" i="43"/>
  <c r="H17" i="43"/>
  <c r="N9" i="43"/>
  <c r="M8" i="43"/>
  <c r="N10" i="43"/>
  <c r="J17" i="43"/>
  <c r="I17" i="43"/>
  <c r="M11" i="43"/>
  <c r="N4" i="43"/>
  <c r="F48" i="43"/>
  <c r="T13" i="1"/>
  <c r="T11" i="1"/>
  <c r="E20" i="88"/>
  <c r="BL18" i="3"/>
  <c r="BA17" i="3"/>
  <c r="U40" i="33"/>
  <c r="AA44" i="33"/>
  <c r="AA14" i="33"/>
  <c r="U43" i="33"/>
  <c r="U42" i="33"/>
  <c r="S41" i="33"/>
  <c r="F32" i="33"/>
  <c r="H32" i="33"/>
  <c r="AB32" i="33" s="1"/>
  <c r="H101" i="33"/>
  <c r="I101" i="33" s="1"/>
  <c r="J101" i="33" s="1"/>
  <c r="K101" i="33" s="1"/>
  <c r="L101" i="33" s="1"/>
  <c r="M101" i="33" s="1"/>
  <c r="J32" i="33"/>
  <c r="AC32" i="33" s="1"/>
  <c r="U32" i="33"/>
  <c r="U27" i="33"/>
  <c r="F87" i="33"/>
  <c r="G87" i="33" s="1"/>
  <c r="H87" i="33" s="1"/>
  <c r="I87" i="33" s="1"/>
  <c r="J87" i="33" s="1"/>
  <c r="K87" i="33" s="1"/>
  <c r="L87" i="33" s="1"/>
  <c r="M87" i="33" s="1"/>
  <c r="F25" i="33"/>
  <c r="AA25" i="33" s="1"/>
  <c r="H25" i="33"/>
  <c r="U25" i="33" s="1"/>
  <c r="J25" i="33"/>
  <c r="W25" i="33" s="1"/>
  <c r="AB26" i="33"/>
  <c r="AB25" i="33"/>
  <c r="U11" i="33"/>
  <c r="AC10" i="33"/>
  <c r="AC27" i="33"/>
  <c r="S26" i="33"/>
  <c r="U35" i="33"/>
  <c r="S38" i="33"/>
  <c r="AB41" i="33"/>
  <c r="W39" i="33"/>
  <c r="AB23" i="33"/>
  <c r="S23" i="33"/>
  <c r="AA19" i="33"/>
  <c r="W21" i="33"/>
  <c r="U19" i="33"/>
  <c r="AB17" i="33"/>
  <c r="F36" i="33"/>
  <c r="H36" i="33"/>
  <c r="H111" i="33"/>
  <c r="I111" i="33" s="1"/>
  <c r="J111" i="33" s="1"/>
  <c r="K111" i="33" s="1"/>
  <c r="L111" i="33" s="1"/>
  <c r="M111" i="33" s="1"/>
  <c r="J36" i="33"/>
  <c r="AB10" i="33"/>
  <c r="S9" i="33"/>
  <c r="AA7" i="33"/>
  <c r="U15" i="33"/>
  <c r="B66" i="43"/>
  <c r="AR11" i="1"/>
  <c r="J62" i="43"/>
  <c r="E59" i="43"/>
  <c r="B57" i="43" s="1"/>
  <c r="C24" i="43" s="1"/>
  <c r="H66" i="43"/>
  <c r="H65" i="43"/>
  <c r="H64" i="43"/>
  <c r="H63" i="43"/>
  <c r="H62" i="43"/>
  <c r="H61" i="43"/>
  <c r="H60" i="43"/>
  <c r="H59" i="43"/>
  <c r="H67" i="43"/>
  <c r="E9" i="49"/>
  <c r="B22" i="49"/>
  <c r="M20" i="77"/>
  <c r="F34" i="77"/>
  <c r="F62" i="77" s="1"/>
  <c r="M20" i="78"/>
  <c r="F34" i="83"/>
  <c r="F62" i="83" s="1"/>
  <c r="M20" i="82"/>
  <c r="M20" i="83"/>
  <c r="F34" i="82"/>
  <c r="F62" i="82" s="1"/>
  <c r="C94" i="9"/>
  <c r="C92" i="9"/>
  <c r="F32" i="83"/>
  <c r="F60" i="83" s="1"/>
  <c r="F28" i="83"/>
  <c r="C28" i="83" s="1"/>
  <c r="M18" i="83"/>
  <c r="F32" i="82"/>
  <c r="F60" i="82" s="1"/>
  <c r="F28" i="82"/>
  <c r="C28" i="82" s="1"/>
  <c r="M18" i="82"/>
  <c r="F28" i="78"/>
  <c r="M18" i="78"/>
  <c r="M18" i="77"/>
  <c r="F52" i="9"/>
  <c r="M18" i="67"/>
  <c r="F28" i="15"/>
  <c r="C28" i="15" s="1"/>
  <c r="D68" i="9"/>
  <c r="F32" i="78"/>
  <c r="F60" i="78" s="1"/>
  <c r="F28" i="77"/>
  <c r="C28" i="77" s="1"/>
  <c r="F32" i="77"/>
  <c r="F60" i="77" s="1"/>
  <c r="F53" i="9"/>
  <c r="F30" i="68"/>
  <c r="F30" i="11"/>
  <c r="F28" i="67"/>
  <c r="C28" i="67" s="1"/>
  <c r="F31" i="12"/>
  <c r="F32" i="67"/>
  <c r="F60" i="67" s="1"/>
  <c r="F30" i="69"/>
  <c r="F32" i="15"/>
  <c r="F60" i="15" s="1"/>
  <c r="M18" i="15"/>
  <c r="F54" i="9"/>
  <c r="C28" i="78"/>
  <c r="G16" i="3"/>
  <c r="BA15" i="3"/>
  <c r="E29" i="6"/>
  <c r="K15" i="1" s="1"/>
  <c r="BL171" i="3"/>
  <c r="AZ171" i="3" s="1"/>
  <c r="BL169" i="3"/>
  <c r="AZ169" i="3" s="1"/>
  <c r="BL167" i="3"/>
  <c r="AZ167" i="3" s="1"/>
  <c r="BL165" i="3"/>
  <c r="AZ165" i="3" s="1"/>
  <c r="BL163" i="3"/>
  <c r="AZ163" i="3" s="1"/>
  <c r="BL161" i="3"/>
  <c r="AZ161" i="3" s="1"/>
  <c r="BL159" i="3"/>
  <c r="AZ159" i="3" s="1"/>
  <c r="BL157" i="3"/>
  <c r="AZ157" i="3" s="1"/>
  <c r="BL155" i="3"/>
  <c r="AZ155" i="3" s="1"/>
  <c r="BL153" i="3"/>
  <c r="AZ153" i="3" s="1"/>
  <c r="BL151" i="3"/>
  <c r="AZ151" i="3" s="1"/>
  <c r="BL149" i="3"/>
  <c r="AZ149" i="3" s="1"/>
  <c r="BL147" i="3"/>
  <c r="AZ147" i="3" s="1"/>
  <c r="BL145" i="3"/>
  <c r="AZ145" i="3" s="1"/>
  <c r="BL143" i="3"/>
  <c r="AZ143" i="3" s="1"/>
  <c r="BL126" i="3"/>
  <c r="AZ126" i="3" s="1"/>
  <c r="BL125" i="3"/>
  <c r="BL119" i="3"/>
  <c r="AZ119" i="3" s="1"/>
  <c r="AZ117" i="3"/>
  <c r="AZ115" i="3"/>
  <c r="AZ113" i="3"/>
  <c r="BL61" i="3"/>
  <c r="AZ61" i="3" s="1"/>
  <c r="BL29" i="3"/>
  <c r="AZ128" i="3"/>
  <c r="BL123" i="3"/>
  <c r="BL57" i="3"/>
  <c r="BA91" i="3"/>
  <c r="AZ91" i="3" s="1"/>
  <c r="AZ90" i="3"/>
  <c r="BA87" i="3"/>
  <c r="AZ87" i="3" s="1"/>
  <c r="AZ86" i="3"/>
  <c r="BA83" i="3"/>
  <c r="AZ83" i="3" s="1"/>
  <c r="AZ82" i="3"/>
  <c r="BA79" i="3"/>
  <c r="AZ79" i="3" s="1"/>
  <c r="AZ78" i="3"/>
  <c r="BA75" i="3"/>
  <c r="AZ75" i="3" s="1"/>
  <c r="AZ74" i="3"/>
  <c r="BA71" i="3"/>
  <c r="AZ71" i="3" s="1"/>
  <c r="AZ70" i="3"/>
  <c r="BA67" i="3"/>
  <c r="AZ67" i="3" s="1"/>
  <c r="AZ66" i="3"/>
  <c r="BA63" i="3"/>
  <c r="AZ63" i="3" s="1"/>
  <c r="AZ62" i="3"/>
  <c r="BA61" i="3"/>
  <c r="BA46" i="3"/>
  <c r="G87" i="3"/>
  <c r="G83" i="3"/>
  <c r="G79" i="3"/>
  <c r="G75" i="3"/>
  <c r="G71" i="3"/>
  <c r="G67" i="3"/>
  <c r="G63" i="3"/>
  <c r="G59" i="3"/>
  <c r="G56" i="3"/>
  <c r="G55" i="3"/>
  <c r="G54" i="3"/>
  <c r="G53" i="3"/>
  <c r="G52" i="3"/>
  <c r="G51" i="3"/>
  <c r="G50" i="3"/>
  <c r="G49" i="3"/>
  <c r="G48" i="3"/>
  <c r="G47" i="3"/>
  <c r="G46" i="3"/>
  <c r="G45" i="3"/>
  <c r="G44" i="3"/>
  <c r="G43" i="3"/>
  <c r="AZ92" i="3"/>
  <c r="BA89" i="3"/>
  <c r="AZ88" i="3"/>
  <c r="BA85" i="3"/>
  <c r="AZ84" i="3"/>
  <c r="BA81" i="3"/>
  <c r="AZ80" i="3"/>
  <c r="BA77" i="3"/>
  <c r="AZ76" i="3"/>
  <c r="BA73" i="3"/>
  <c r="AZ72" i="3"/>
  <c r="BA69" i="3"/>
  <c r="AZ68" i="3"/>
  <c r="BA65" i="3"/>
  <c r="AZ64" i="3"/>
  <c r="BA59" i="3"/>
  <c r="BA50" i="3"/>
  <c r="BA42" i="3"/>
  <c r="BL59" i="3"/>
  <c r="AZ59" i="3" s="1"/>
  <c r="BL53" i="3"/>
  <c r="BL47" i="3"/>
  <c r="BL45" i="3"/>
  <c r="BL39" i="3"/>
  <c r="BL37" i="3"/>
  <c r="BL32" i="3"/>
  <c r="BL28" i="3"/>
  <c r="BL24" i="3"/>
  <c r="BL20" i="3"/>
  <c r="BL19" i="3"/>
  <c r="AZ95" i="3"/>
  <c r="AZ93" i="3"/>
  <c r="AZ89" i="3"/>
  <c r="AZ85" i="3"/>
  <c r="AZ81" i="3"/>
  <c r="AZ77" i="3"/>
  <c r="AZ73" i="3"/>
  <c r="AZ69" i="3"/>
  <c r="AZ65" i="3"/>
  <c r="BL51" i="3"/>
  <c r="BL49" i="3"/>
  <c r="BL43" i="3"/>
  <c r="BL41" i="3"/>
  <c r="BL35" i="3"/>
  <c r="BL30" i="3"/>
  <c r="BL26" i="3"/>
  <c r="BL22" i="3"/>
  <c r="BL16" i="3"/>
  <c r="BA120" i="3"/>
  <c r="AZ120" i="3" s="1"/>
  <c r="G58" i="3"/>
  <c r="G57" i="3"/>
  <c r="G15" i="3"/>
  <c r="G14" i="3"/>
  <c r="G13" i="3"/>
  <c r="BA111" i="3"/>
  <c r="AZ111" i="3" s="1"/>
  <c r="BA109" i="3"/>
  <c r="AZ109" i="3" s="1"/>
  <c r="BA107" i="3"/>
  <c r="AZ107" i="3" s="1"/>
  <c r="BA105" i="3"/>
  <c r="AZ105" i="3" s="1"/>
  <c r="BA103" i="3"/>
  <c r="AZ103" i="3" s="1"/>
  <c r="BA101" i="3"/>
  <c r="AZ101" i="3" s="1"/>
  <c r="BA99" i="3"/>
  <c r="AZ99" i="3" s="1"/>
  <c r="BA97" i="3"/>
  <c r="AZ97" i="3" s="1"/>
  <c r="BA60" i="3"/>
  <c r="AZ60" i="3" s="1"/>
  <c r="BA56" i="3"/>
  <c r="BA33" i="3"/>
  <c r="AZ33" i="3" s="1"/>
  <c r="AZ32" i="3"/>
  <c r="BA31" i="3"/>
  <c r="AZ31" i="3" s="1"/>
  <c r="AZ30" i="3"/>
  <c r="BA29" i="3"/>
  <c r="AZ29" i="3" s="1"/>
  <c r="AZ28" i="3"/>
  <c r="BA27" i="3"/>
  <c r="AZ27" i="3" s="1"/>
  <c r="AZ26" i="3"/>
  <c r="BA25" i="3"/>
  <c r="AZ25" i="3" s="1"/>
  <c r="AZ24" i="3"/>
  <c r="BA23" i="3"/>
  <c r="AZ23" i="3" s="1"/>
  <c r="AZ22" i="3"/>
  <c r="BA21" i="3"/>
  <c r="AZ21" i="3" s="1"/>
  <c r="AZ20" i="3"/>
  <c r="BA18" i="3"/>
  <c r="BA14" i="3"/>
  <c r="BA58" i="3"/>
  <c r="BA13" i="3"/>
  <c r="AZ13" i="3" s="1"/>
  <c r="BL58" i="3"/>
  <c r="AZ58" i="3" s="1"/>
  <c r="BA57" i="3"/>
  <c r="AZ57" i="3" s="1"/>
  <c r="BL56" i="3"/>
  <c r="BL54" i="3"/>
  <c r="BA54" i="3"/>
  <c r="BL14" i="3"/>
  <c r="AZ14" i="3" s="1"/>
  <c r="BA53" i="3"/>
  <c r="BL52" i="3"/>
  <c r="AZ52" i="3" s="1"/>
  <c r="BA51" i="3"/>
  <c r="BL50" i="3"/>
  <c r="BA49" i="3"/>
  <c r="BL48" i="3"/>
  <c r="AZ48" i="3" s="1"/>
  <c r="BA47" i="3"/>
  <c r="BL46" i="3"/>
  <c r="AZ46" i="3" s="1"/>
  <c r="BL44" i="3"/>
  <c r="AZ44" i="3" s="1"/>
  <c r="BA43" i="3"/>
  <c r="AZ43" i="3" s="1"/>
  <c r="BL42" i="3"/>
  <c r="AZ42" i="3" s="1"/>
  <c r="BL40" i="3"/>
  <c r="AZ40" i="3" s="1"/>
  <c r="BL38" i="3"/>
  <c r="AZ38" i="3" s="1"/>
  <c r="BL36" i="3"/>
  <c r="AZ36" i="3" s="1"/>
  <c r="BL34" i="3"/>
  <c r="BA19" i="3"/>
  <c r="AZ19" i="3" s="1"/>
  <c r="AZ18" i="3"/>
  <c r="BA16" i="3"/>
  <c r="AZ16" i="3" s="1"/>
  <c r="BL15" i="3"/>
  <c r="BA125" i="3"/>
  <c r="AZ125" i="3" s="1"/>
  <c r="BL122" i="3"/>
  <c r="BL121" i="3"/>
  <c r="AZ121" i="3" s="1"/>
  <c r="BA123" i="3"/>
  <c r="AZ123" i="3" s="1"/>
  <c r="BA124" i="3"/>
  <c r="AZ124" i="3" s="1"/>
  <c r="BA122" i="3"/>
  <c r="AZ122" i="3" s="1"/>
  <c r="D9" i="68"/>
  <c r="C9" i="68" s="1"/>
  <c r="D19" i="12"/>
  <c r="C19" i="12" s="1"/>
  <c r="D9" i="69"/>
  <c r="C9" i="69" s="1"/>
  <c r="L27" i="6"/>
  <c r="H16" i="1"/>
  <c r="G1" i="83"/>
  <c r="G1" i="82"/>
  <c r="M6" i="1"/>
  <c r="O6" i="1" s="1"/>
  <c r="P6" i="1" s="1"/>
  <c r="B8" i="49"/>
  <c r="B11" i="49"/>
  <c r="B14" i="49"/>
  <c r="E11" i="49"/>
  <c r="B6" i="49"/>
  <c r="E21" i="49"/>
  <c r="B13" i="49"/>
  <c r="E22" i="49"/>
  <c r="B7" i="49"/>
  <c r="E4" i="49"/>
  <c r="B4" i="49"/>
  <c r="E5" i="49"/>
  <c r="E10" i="49"/>
  <c r="E8" i="49"/>
  <c r="E16" i="49"/>
  <c r="B9" i="49"/>
  <c r="E4" i="4" s="1"/>
  <c r="B5" i="62" s="1"/>
  <c r="B73" i="72" s="1"/>
  <c r="E6" i="49"/>
  <c r="E7" i="49"/>
  <c r="B16" i="49"/>
  <c r="C4" i="4" s="1"/>
  <c r="B4" i="62" s="1"/>
  <c r="B71" i="72" s="1"/>
  <c r="B10" i="49"/>
  <c r="AZ54" i="3"/>
  <c r="BA55" i="3"/>
  <c r="AZ55" i="3" s="1"/>
  <c r="BA45" i="3"/>
  <c r="T10" i="1"/>
  <c r="BA41" i="3"/>
  <c r="AZ41" i="3" s="1"/>
  <c r="BA39" i="3"/>
  <c r="AZ39" i="3" s="1"/>
  <c r="BA37" i="3"/>
  <c r="BA35" i="3"/>
  <c r="AR10" i="1"/>
  <c r="C36" i="69"/>
  <c r="E12" i="6"/>
  <c r="E62" i="39" s="1"/>
  <c r="E59" i="40"/>
  <c r="E15" i="6"/>
  <c r="Q16" i="1"/>
  <c r="F27" i="68" s="1"/>
  <c r="E56" i="40"/>
  <c r="E13" i="6"/>
  <c r="AZ35" i="3"/>
  <c r="AZ34" i="3"/>
  <c r="H48" i="43"/>
  <c r="H50" i="43"/>
  <c r="H75" i="43"/>
  <c r="E17" i="43"/>
  <c r="H113" i="43"/>
  <c r="G16" i="1"/>
  <c r="J10" i="39" s="1"/>
  <c r="M63" i="40"/>
  <c r="L65" i="40"/>
  <c r="U7" i="33"/>
  <c r="M58" i="21"/>
  <c r="N58" i="21" s="1"/>
  <c r="O58" i="21" s="1"/>
  <c r="J7" i="21"/>
  <c r="H7" i="21"/>
  <c r="J59" i="34"/>
  <c r="K59" i="34" s="1"/>
  <c r="L59" i="34" s="1"/>
  <c r="M59" i="34" s="1"/>
  <c r="N59" i="34" s="1"/>
  <c r="O59" i="34" s="1"/>
  <c r="F7" i="34" s="1"/>
  <c r="J7" i="34"/>
  <c r="AC7" i="33"/>
  <c r="K48" i="35"/>
  <c r="L48" i="35" s="1"/>
  <c r="M48" i="35" s="1"/>
  <c r="N48" i="35" s="1"/>
  <c r="O48" i="35" s="1"/>
  <c r="J7" i="35"/>
  <c r="F52" i="37"/>
  <c r="C70" i="39"/>
  <c r="D68" i="39"/>
  <c r="H7" i="35"/>
  <c r="F7" i="35"/>
  <c r="E46" i="36"/>
  <c r="D58" i="79"/>
  <c r="E58" i="79" s="1"/>
  <c r="F58" i="79" s="1"/>
  <c r="G58" i="79" s="1"/>
  <c r="H58" i="79" s="1"/>
  <c r="I58" i="79" s="1"/>
  <c r="J58" i="79" s="1"/>
  <c r="K58" i="79" s="1"/>
  <c r="L58" i="79" s="1"/>
  <c r="M58" i="79" s="1"/>
  <c r="N58" i="79" s="1"/>
  <c r="O58" i="79" s="1"/>
  <c r="F7" i="79"/>
  <c r="J7" i="79"/>
  <c r="H7" i="79"/>
  <c r="C29" i="80"/>
  <c r="T15" i="80"/>
  <c r="V15" i="80" s="1"/>
  <c r="T14" i="80"/>
  <c r="V14" i="80" s="1"/>
  <c r="T13" i="80"/>
  <c r="V13" i="80" s="1"/>
  <c r="T12" i="80"/>
  <c r="V12" i="80" s="1"/>
  <c r="C39" i="80"/>
  <c r="C37" i="80"/>
  <c r="C35" i="80"/>
  <c r="C33" i="80"/>
  <c r="T16" i="80"/>
  <c r="V16" i="80" s="1"/>
  <c r="T9" i="80"/>
  <c r="V9" i="80" s="1"/>
  <c r="T8" i="80"/>
  <c r="V8" i="80" s="1"/>
  <c r="T6" i="80"/>
  <c r="V6" i="80" s="1"/>
  <c r="T5" i="80"/>
  <c r="V5" i="80" s="1"/>
  <c r="T4" i="80"/>
  <c r="V4" i="80" s="1"/>
  <c r="T2" i="80"/>
  <c r="V2" i="80" s="1"/>
  <c r="T3" i="80"/>
  <c r="V3" i="80" s="1"/>
  <c r="C38" i="80"/>
  <c r="C36" i="80"/>
  <c r="C34" i="80"/>
  <c r="T11" i="80"/>
  <c r="V11" i="80" s="1"/>
  <c r="T10" i="80"/>
  <c r="V10" i="80" s="1"/>
  <c r="T7" i="80"/>
  <c r="V7" i="80" s="1"/>
  <c r="B20" i="31"/>
  <c r="F69" i="67"/>
  <c r="J20" i="67"/>
  <c r="F63" i="67"/>
  <c r="C62" i="67" s="1"/>
  <c r="C34" i="67"/>
  <c r="F66" i="67"/>
  <c r="C6" i="67"/>
  <c r="Q71" i="15"/>
  <c r="F68" i="15"/>
  <c r="C27" i="67"/>
  <c r="F66" i="15"/>
  <c r="F68" i="67"/>
  <c r="F51" i="67"/>
  <c r="M7" i="15"/>
  <c r="F50" i="15"/>
  <c r="Q71" i="67"/>
  <c r="F71" i="67"/>
  <c r="B9" i="70"/>
  <c r="B11" i="70"/>
  <c r="B10" i="70"/>
  <c r="J20" i="77"/>
  <c r="L58" i="77"/>
  <c r="N59" i="77"/>
  <c r="L59" i="77"/>
  <c r="M59" i="77"/>
  <c r="F68" i="77"/>
  <c r="M7" i="67"/>
  <c r="J6" i="67" s="1"/>
  <c r="F50" i="67"/>
  <c r="F65" i="67"/>
  <c r="C6" i="15"/>
  <c r="I54" i="67"/>
  <c r="J57" i="67"/>
  <c r="J55" i="67" s="1"/>
  <c r="J58" i="67" s="1"/>
  <c r="Q50" i="67" s="1"/>
  <c r="L56" i="67"/>
  <c r="C27" i="15"/>
  <c r="F71" i="15"/>
  <c r="F51" i="15"/>
  <c r="M59" i="15"/>
  <c r="L58" i="15"/>
  <c r="N59" i="15"/>
  <c r="L59" i="15"/>
  <c r="L58" i="67"/>
  <c r="L59" i="67"/>
  <c r="N59" i="67"/>
  <c r="M59" i="67"/>
  <c r="F65" i="15"/>
  <c r="F70" i="67"/>
  <c r="I54" i="15"/>
  <c r="J53" i="15"/>
  <c r="J57" i="15"/>
  <c r="J55" i="15" s="1"/>
  <c r="J58" i="15" s="1"/>
  <c r="Q50" i="15" s="1"/>
  <c r="F64" i="67"/>
  <c r="F64" i="15"/>
  <c r="B13" i="70"/>
  <c r="B12" i="70"/>
  <c r="E20" i="43"/>
  <c r="L56" i="77"/>
  <c r="J57" i="77"/>
  <c r="J55" i="77" s="1"/>
  <c r="J58" i="77" s="1"/>
  <c r="Q50" i="77" s="1"/>
  <c r="I54" i="77"/>
  <c r="Q71" i="77"/>
  <c r="F69" i="77"/>
  <c r="F66" i="77"/>
  <c r="C34" i="77"/>
  <c r="F63" i="77"/>
  <c r="C62" i="77" s="1"/>
  <c r="F65" i="77"/>
  <c r="F64" i="77"/>
  <c r="M7" i="77"/>
  <c r="J6" i="77" s="1"/>
  <c r="F50" i="77"/>
  <c r="C6" i="77"/>
  <c r="C27" i="77"/>
  <c r="F71" i="77"/>
  <c r="J20" i="78"/>
  <c r="L58" i="78"/>
  <c r="N59" i="78"/>
  <c r="M59" i="78"/>
  <c r="L59" i="78"/>
  <c r="F68" i="78"/>
  <c r="C34" i="78"/>
  <c r="F63" i="78"/>
  <c r="C62" i="78" s="1"/>
  <c r="I1" i="73"/>
  <c r="B39" i="1" s="1"/>
  <c r="M7" i="78"/>
  <c r="J6" i="78" s="1"/>
  <c r="F50" i="78"/>
  <c r="C6" i="78"/>
  <c r="K1" i="73"/>
  <c r="F71" i="78"/>
  <c r="F51" i="77"/>
  <c r="I54" i="78"/>
  <c r="J57" i="78"/>
  <c r="J55" i="78" s="1"/>
  <c r="J58" i="78" s="1"/>
  <c r="Q50" i="78" s="1"/>
  <c r="L56" i="78"/>
  <c r="Q71" i="78"/>
  <c r="F69" i="78"/>
  <c r="F66" i="78"/>
  <c r="F65" i="78"/>
  <c r="F64" i="78"/>
  <c r="F51" i="78"/>
  <c r="C27" i="78"/>
  <c r="F13" i="83"/>
  <c r="C14" i="77"/>
  <c r="F38" i="82"/>
  <c r="C76" i="83"/>
  <c r="F9" i="82"/>
  <c r="F42" i="82"/>
  <c r="M8" i="83"/>
  <c r="M9" i="83"/>
  <c r="F26" i="82"/>
  <c r="F37" i="82"/>
  <c r="M27" i="83"/>
  <c r="M26" i="83"/>
  <c r="F43" i="83"/>
  <c r="M22" i="82"/>
  <c r="M29" i="82"/>
  <c r="F8" i="82"/>
  <c r="M22" i="83"/>
  <c r="J15" i="82"/>
  <c r="F37" i="83"/>
  <c r="C17" i="77"/>
  <c r="M28" i="82"/>
  <c r="M6" i="82"/>
  <c r="M28" i="83"/>
  <c r="C16" i="78"/>
  <c r="M29" i="83"/>
  <c r="F26" i="83"/>
  <c r="F36" i="82"/>
  <c r="L47" i="82"/>
  <c r="F7" i="83"/>
  <c r="F6" i="83"/>
  <c r="M27" i="82"/>
  <c r="F42" i="83"/>
  <c r="L48" i="82"/>
  <c r="F38" i="83"/>
  <c r="F16" i="82"/>
  <c r="M24" i="83"/>
  <c r="M23" i="83"/>
  <c r="J15" i="83"/>
  <c r="C16" i="67"/>
  <c r="M8" i="82"/>
  <c r="M24" i="82"/>
  <c r="F16" i="83"/>
  <c r="F9" i="83"/>
  <c r="M9" i="82"/>
  <c r="M26" i="82"/>
  <c r="C14" i="67"/>
  <c r="F36" i="83"/>
  <c r="C16" i="77"/>
  <c r="F8" i="83"/>
  <c r="C17" i="78"/>
  <c r="C16" i="15"/>
  <c r="M6" i="83"/>
  <c r="F40" i="83"/>
  <c r="F13" i="82"/>
  <c r="C76" i="82"/>
  <c r="G1" i="73"/>
  <c r="F40" i="82"/>
  <c r="L48" i="83"/>
  <c r="L47" i="83"/>
  <c r="F7" i="82"/>
  <c r="C14" i="78"/>
  <c r="M23" i="82"/>
  <c r="F6" i="82"/>
  <c r="F43" i="82"/>
  <c r="C17" i="67"/>
  <c r="W32" i="33" l="1"/>
  <c r="C16" i="43"/>
  <c r="H52" i="43"/>
  <c r="H49" i="43"/>
  <c r="H53" i="43"/>
  <c r="H54" i="43"/>
  <c r="H55" i="43"/>
  <c r="H56" i="43"/>
  <c r="H51" i="43"/>
  <c r="S25" i="33"/>
  <c r="P17" i="88"/>
  <c r="N17" i="88"/>
  <c r="M17" i="88"/>
  <c r="O17" i="88"/>
  <c r="AA32" i="33"/>
  <c r="S32" i="33"/>
  <c r="AC25" i="33"/>
  <c r="AC36" i="33"/>
  <c r="W36" i="33"/>
  <c r="AB36" i="33"/>
  <c r="T48" i="33" s="1"/>
  <c r="G48" i="33" s="1"/>
  <c r="G52" i="33" s="1"/>
  <c r="H52" i="33" s="1"/>
  <c r="U36" i="33"/>
  <c r="AA36" i="33"/>
  <c r="S36" i="33"/>
  <c r="C30" i="68"/>
  <c r="C48" i="68"/>
  <c r="C48" i="69"/>
  <c r="C30" i="69"/>
  <c r="C48" i="11"/>
  <c r="C30" i="11"/>
  <c r="E57" i="40"/>
  <c r="AZ15" i="3"/>
  <c r="AZ37" i="3"/>
  <c r="AZ45" i="3"/>
  <c r="AZ51" i="3"/>
  <c r="AZ53" i="3"/>
  <c r="AZ50" i="3"/>
  <c r="AZ47" i="3"/>
  <c r="AZ49" i="3"/>
  <c r="AZ56" i="3"/>
  <c r="Q71" i="82"/>
  <c r="L59" i="82"/>
  <c r="M59" i="82"/>
  <c r="N59" i="82"/>
  <c r="L58" i="82"/>
  <c r="F65" i="82"/>
  <c r="C27" i="82"/>
  <c r="C6" i="82"/>
  <c r="I54" i="82"/>
  <c r="J53" i="82"/>
  <c r="J57" i="82"/>
  <c r="J55" i="82" s="1"/>
  <c r="J58" i="82" s="1"/>
  <c r="Q50" i="82" s="1"/>
  <c r="L56" i="82"/>
  <c r="F68" i="82"/>
  <c r="F51" i="82"/>
  <c r="F66" i="82"/>
  <c r="F64" i="82"/>
  <c r="F71" i="82"/>
  <c r="F50" i="82"/>
  <c r="M7" i="82"/>
  <c r="J6" i="82" s="1"/>
  <c r="F51" i="83"/>
  <c r="Q71" i="83"/>
  <c r="F65" i="83"/>
  <c r="F68" i="83"/>
  <c r="J53" i="83"/>
  <c r="L56" i="83" s="1"/>
  <c r="I54" i="83"/>
  <c r="J57" i="83"/>
  <c r="J55" i="83" s="1"/>
  <c r="J58" i="83" s="1"/>
  <c r="Q50" i="83" s="1"/>
  <c r="C6" i="83"/>
  <c r="C27" i="83"/>
  <c r="F64" i="83"/>
  <c r="F66" i="83"/>
  <c r="L59" i="83"/>
  <c r="M59" i="83"/>
  <c r="N59" i="83"/>
  <c r="L58" i="83"/>
  <c r="F71" i="83"/>
  <c r="F50" i="83"/>
  <c r="M7" i="83"/>
  <c r="J6" i="83" s="1"/>
  <c r="C18" i="78"/>
  <c r="C15" i="78"/>
  <c r="C18" i="77"/>
  <c r="C15" i="77"/>
  <c r="F11" i="83"/>
  <c r="M11" i="83"/>
  <c r="F11" i="82"/>
  <c r="M11" i="82"/>
  <c r="J10" i="82" s="1"/>
  <c r="J5" i="82" s="1"/>
  <c r="K4" i="4"/>
  <c r="B46" i="48" s="1"/>
  <c r="B4" i="72" s="1"/>
  <c r="F27" i="11"/>
  <c r="C47" i="11" s="1"/>
  <c r="D45" i="11" s="1"/>
  <c r="BA5" i="3"/>
  <c r="E27" i="6" s="1"/>
  <c r="C29" i="68"/>
  <c r="D27" i="68" s="1"/>
  <c r="C47" i="68"/>
  <c r="D45" i="68" s="1"/>
  <c r="E60" i="40"/>
  <c r="E65" i="39"/>
  <c r="F27" i="69"/>
  <c r="F28" i="12"/>
  <c r="C29" i="12" s="1"/>
  <c r="D28" i="12" s="1"/>
  <c r="E58" i="40"/>
  <c r="E63" i="39"/>
  <c r="E16" i="6"/>
  <c r="F10" i="40"/>
  <c r="S10" i="40" s="1"/>
  <c r="H10" i="40"/>
  <c r="H10" i="39"/>
  <c r="F10" i="39"/>
  <c r="J10" i="40"/>
  <c r="S7" i="34"/>
  <c r="AA7" i="34"/>
  <c r="R49" i="34" s="1"/>
  <c r="AC7" i="79"/>
  <c r="V48" i="79" s="1"/>
  <c r="I48" i="79" s="1"/>
  <c r="W7" i="79"/>
  <c r="F46" i="36"/>
  <c r="U7" i="35"/>
  <c r="AB7" i="35"/>
  <c r="T38" i="35" s="1"/>
  <c r="G38" i="35" s="1"/>
  <c r="G52" i="37"/>
  <c r="H7" i="34"/>
  <c r="AB7" i="21"/>
  <c r="T48" i="21" s="1"/>
  <c r="G48" i="21" s="1"/>
  <c r="U7" i="21"/>
  <c r="F7" i="21"/>
  <c r="AB7" i="79"/>
  <c r="T48" i="79" s="1"/>
  <c r="G48" i="79" s="1"/>
  <c r="U7" i="79"/>
  <c r="S7" i="79"/>
  <c r="AA7" i="79"/>
  <c r="R48" i="79" s="1"/>
  <c r="AC10" i="39"/>
  <c r="W10" i="39"/>
  <c r="AA7" i="35"/>
  <c r="R38" i="35" s="1"/>
  <c r="S7" i="35"/>
  <c r="D70" i="39"/>
  <c r="E68" i="39"/>
  <c r="W7" i="35"/>
  <c r="AC7" i="35"/>
  <c r="V38" i="35" s="1"/>
  <c r="I38" i="35" s="1"/>
  <c r="W7" i="34"/>
  <c r="AC7" i="34"/>
  <c r="V49" i="34" s="1"/>
  <c r="I49" i="34" s="1"/>
  <c r="AC7" i="21"/>
  <c r="V48" i="21" s="1"/>
  <c r="I48" i="21" s="1"/>
  <c r="W7" i="21"/>
  <c r="N63" i="40"/>
  <c r="M65" i="40"/>
  <c r="C49" i="15"/>
  <c r="G34" i="80"/>
  <c r="I34" i="80" s="1"/>
  <c r="E34" i="80"/>
  <c r="G38" i="80"/>
  <c r="I38" i="80" s="1"/>
  <c r="E38" i="80"/>
  <c r="G35" i="80"/>
  <c r="I35" i="80" s="1"/>
  <c r="E35" i="80"/>
  <c r="E39" i="80"/>
  <c r="G39" i="80"/>
  <c r="I39" i="80" s="1"/>
  <c r="G36" i="80"/>
  <c r="I36" i="80" s="1"/>
  <c r="E36" i="80"/>
  <c r="G33" i="80"/>
  <c r="I33" i="80" s="1"/>
  <c r="E33" i="80"/>
  <c r="G37" i="80"/>
  <c r="I37" i="80" s="1"/>
  <c r="E37" i="80"/>
  <c r="E29" i="80"/>
  <c r="C30" i="80"/>
  <c r="E30" i="80" s="1"/>
  <c r="B40" i="1"/>
  <c r="C18" i="67"/>
  <c r="C15" i="67"/>
  <c r="C49" i="78"/>
  <c r="C49" i="77"/>
  <c r="Q73" i="78"/>
  <c r="Q60" i="78"/>
  <c r="F1" i="15"/>
  <c r="Q52" i="15"/>
  <c r="L56" i="15"/>
  <c r="Q61" i="67"/>
  <c r="Q74" i="67"/>
  <c r="Q74" i="15"/>
  <c r="Q61" i="15"/>
  <c r="Q73" i="15"/>
  <c r="Q60" i="15"/>
  <c r="C49" i="67"/>
  <c r="J6" i="15"/>
  <c r="F11" i="78"/>
  <c r="F11" i="77"/>
  <c r="M11" i="78"/>
  <c r="J10" i="78" s="1"/>
  <c r="J5" i="78" s="1"/>
  <c r="F11" i="67"/>
  <c r="F11" i="15"/>
  <c r="M11" i="77"/>
  <c r="J10" i="77" s="1"/>
  <c r="J5" i="77" s="1"/>
  <c r="M11" i="15"/>
  <c r="J10" i="15" s="1"/>
  <c r="M11" i="67"/>
  <c r="J10" i="67" s="1"/>
  <c r="J5" i="67" s="1"/>
  <c r="Q61" i="78"/>
  <c r="Q74" i="78"/>
  <c r="O17" i="43"/>
  <c r="P17" i="43"/>
  <c r="N17" i="43"/>
  <c r="M17" i="43"/>
  <c r="Q73" i="67"/>
  <c r="Q60" i="67"/>
  <c r="Q61" i="77"/>
  <c r="Q74" i="77"/>
  <c r="Q73" i="77"/>
  <c r="Q60" i="77"/>
  <c r="C16" i="82"/>
  <c r="AE8" i="1"/>
  <c r="C16" i="83"/>
  <c r="D5" i="43" l="1"/>
  <c r="C5" i="43"/>
  <c r="C49" i="82"/>
  <c r="G20" i="88"/>
  <c r="C20" i="88" s="1"/>
  <c r="C35" i="88" s="1"/>
  <c r="R48" i="33"/>
  <c r="V48" i="33"/>
  <c r="I48" i="33" s="1"/>
  <c r="G53" i="33" s="1"/>
  <c r="H53" i="33" s="1"/>
  <c r="E48" i="33"/>
  <c r="G20" i="43"/>
  <c r="C20" i="43" s="1"/>
  <c r="C39" i="43" s="1"/>
  <c r="E39" i="43" s="1"/>
  <c r="C29" i="11"/>
  <c r="D27" i="11" s="1"/>
  <c r="C19" i="78"/>
  <c r="C20" i="78" s="1"/>
  <c r="C26" i="78" s="1"/>
  <c r="C19" i="77"/>
  <c r="C20" i="77" s="1"/>
  <c r="C26" i="77" s="1"/>
  <c r="J10" i="83"/>
  <c r="J5" i="83" s="1"/>
  <c r="J26" i="83" s="1"/>
  <c r="C49" i="83"/>
  <c r="Q74" i="83"/>
  <c r="Q61" i="83"/>
  <c r="Q52" i="83"/>
  <c r="F1" i="83"/>
  <c r="F1" i="82"/>
  <c r="Q52" i="82"/>
  <c r="Q74" i="82"/>
  <c r="Q61" i="82"/>
  <c r="Q60" i="83"/>
  <c r="Q73" i="83"/>
  <c r="Q60" i="82"/>
  <c r="Q73" i="82"/>
  <c r="F24" i="82"/>
  <c r="C24" i="82" s="1"/>
  <c r="F24" i="83"/>
  <c r="C53" i="83"/>
  <c r="C10" i="83"/>
  <c r="C5" i="83" s="1"/>
  <c r="J26" i="82"/>
  <c r="J24" i="82"/>
  <c r="J18" i="82"/>
  <c r="C53" i="82"/>
  <c r="C48" i="82" s="1"/>
  <c r="C10" i="82"/>
  <c r="C5" i="82" s="1"/>
  <c r="C27" i="80"/>
  <c r="E66" i="39"/>
  <c r="AA10" i="40"/>
  <c r="C29" i="69"/>
  <c r="D27" i="69" s="1"/>
  <c r="C47" i="69"/>
  <c r="D45" i="69" s="1"/>
  <c r="W10" i="40"/>
  <c r="AC10" i="40"/>
  <c r="U10" i="39"/>
  <c r="AB10" i="39"/>
  <c r="S10" i="39"/>
  <c r="AA10" i="39"/>
  <c r="U10" i="40"/>
  <c r="AB10" i="40"/>
  <c r="I53" i="34"/>
  <c r="J53" i="34" s="1"/>
  <c r="I42" i="35"/>
  <c r="J42" i="35" s="1"/>
  <c r="F68" i="39"/>
  <c r="E70" i="39"/>
  <c r="E48" i="79"/>
  <c r="R49" i="79"/>
  <c r="U7" i="34"/>
  <c r="AB7" i="34"/>
  <c r="T49" i="34" s="1"/>
  <c r="G49" i="34" s="1"/>
  <c r="R50" i="34"/>
  <c r="E49" i="34"/>
  <c r="O63" i="40"/>
  <c r="O65" i="40" s="1"/>
  <c r="J7" i="40" s="1"/>
  <c r="N65" i="40"/>
  <c r="F7" i="40" s="1"/>
  <c r="I52" i="21"/>
  <c r="J52" i="21" s="1"/>
  <c r="E38" i="35"/>
  <c r="R39" i="35"/>
  <c r="G53" i="79"/>
  <c r="H53" i="79" s="1"/>
  <c r="G52" i="79"/>
  <c r="H52" i="79" s="1"/>
  <c r="S7" i="21"/>
  <c r="AA7" i="21"/>
  <c r="R48" i="21" s="1"/>
  <c r="G52" i="21"/>
  <c r="H52" i="21" s="1"/>
  <c r="G53" i="21"/>
  <c r="H53" i="21" s="1"/>
  <c r="H52" i="37"/>
  <c r="G42" i="35"/>
  <c r="H42" i="35" s="1"/>
  <c r="G43" i="35"/>
  <c r="H43" i="35" s="1"/>
  <c r="G46" i="36"/>
  <c r="I53" i="79"/>
  <c r="J53" i="79" s="1"/>
  <c r="I52" i="79"/>
  <c r="J52" i="79" s="1"/>
  <c r="C19" i="67"/>
  <c r="C20" i="67" s="1"/>
  <c r="C26" i="80"/>
  <c r="B2" i="80" s="1"/>
  <c r="B3" i="80" s="1"/>
  <c r="J18" i="67"/>
  <c r="J24" i="67"/>
  <c r="J26" i="67"/>
  <c r="J29" i="67" s="1"/>
  <c r="J26" i="77"/>
  <c r="J29" i="77" s="1"/>
  <c r="J24" i="77"/>
  <c r="J18" i="77"/>
  <c r="C53" i="15"/>
  <c r="C48" i="15" s="1"/>
  <c r="C10" i="15"/>
  <c r="C5" i="15" s="1"/>
  <c r="C10" i="78"/>
  <c r="C5" i="78" s="1"/>
  <c r="C53" i="78"/>
  <c r="C48" i="78" s="1"/>
  <c r="J5" i="15"/>
  <c r="C10" i="67"/>
  <c r="C5" i="67" s="1"/>
  <c r="C53" i="67"/>
  <c r="C48" i="67" s="1"/>
  <c r="C10" i="77"/>
  <c r="C5" i="77" s="1"/>
  <c r="C53" i="77"/>
  <c r="C48" i="77" s="1"/>
  <c r="J26" i="78"/>
  <c r="J29" i="78" s="1"/>
  <c r="J24" i="78"/>
  <c r="J18" i="78"/>
  <c r="F24" i="77"/>
  <c r="C24" i="77" s="1"/>
  <c r="F24" i="78"/>
  <c r="C24" i="78" s="1"/>
  <c r="F25" i="12"/>
  <c r="F24" i="67"/>
  <c r="C24" i="67" s="1"/>
  <c r="F22" i="68"/>
  <c r="F24" i="15"/>
  <c r="C24" i="15" s="1"/>
  <c r="F22" i="11"/>
  <c r="F22" i="69"/>
  <c r="AE7" i="1"/>
  <c r="F41" i="15"/>
  <c r="AE6" i="1"/>
  <c r="R49" i="33" l="1"/>
  <c r="C48" i="33" s="1"/>
  <c r="T14" i="88"/>
  <c r="V14" i="88" s="1"/>
  <c r="T9" i="88"/>
  <c r="V9" i="88" s="1"/>
  <c r="C33" i="88"/>
  <c r="G33" i="88" s="1"/>
  <c r="I33" i="88" s="1"/>
  <c r="T8" i="88"/>
  <c r="V8" i="88" s="1"/>
  <c r="T16" i="88"/>
  <c r="V16" i="88" s="1"/>
  <c r="T15" i="88"/>
  <c r="V15" i="88" s="1"/>
  <c r="C34" i="88"/>
  <c r="G34" i="88" s="1"/>
  <c r="I34" i="88" s="1"/>
  <c r="C39" i="88"/>
  <c r="E39" i="88" s="1"/>
  <c r="T10" i="88"/>
  <c r="V10" i="88" s="1"/>
  <c r="T12" i="88"/>
  <c r="V12" i="88" s="1"/>
  <c r="C37" i="88"/>
  <c r="E37" i="88" s="1"/>
  <c r="T11" i="88"/>
  <c r="V11" i="88" s="1"/>
  <c r="T13" i="88"/>
  <c r="V13" i="88" s="1"/>
  <c r="C38" i="88"/>
  <c r="G38" i="88" s="1"/>
  <c r="I38" i="88" s="1"/>
  <c r="C36" i="88"/>
  <c r="E36" i="88" s="1"/>
  <c r="E35" i="88"/>
  <c r="G35" i="88"/>
  <c r="I35" i="88" s="1"/>
  <c r="F69" i="15"/>
  <c r="I52" i="33"/>
  <c r="J52" i="33" s="1"/>
  <c r="I53" i="33"/>
  <c r="J53" i="33" s="1"/>
  <c r="E53" i="33"/>
  <c r="F53" i="33" s="1"/>
  <c r="E52" i="33"/>
  <c r="F52" i="33" s="1"/>
  <c r="T12" i="43"/>
  <c r="V12" i="43" s="1"/>
  <c r="C37" i="43"/>
  <c r="T14" i="43"/>
  <c r="V14" i="43" s="1"/>
  <c r="C38" i="43"/>
  <c r="E38" i="43" s="1"/>
  <c r="C35" i="43"/>
  <c r="G35" i="43" s="1"/>
  <c r="I35" i="43" s="1"/>
  <c r="C34" i="43"/>
  <c r="E34" i="43" s="1"/>
  <c r="T16" i="43"/>
  <c r="V16" i="43" s="1"/>
  <c r="T11" i="43"/>
  <c r="V11" i="43" s="1"/>
  <c r="T15" i="43"/>
  <c r="V15" i="43" s="1"/>
  <c r="T8" i="43"/>
  <c r="V8" i="43" s="1"/>
  <c r="C33" i="43"/>
  <c r="G33" i="43" s="1"/>
  <c r="I33" i="43" s="1"/>
  <c r="T10" i="43"/>
  <c r="V10" i="43" s="1"/>
  <c r="C36" i="43"/>
  <c r="E36" i="43" s="1"/>
  <c r="T13" i="43"/>
  <c r="V13" i="43" s="1"/>
  <c r="T9" i="43"/>
  <c r="V9" i="43" s="1"/>
  <c r="C48" i="83"/>
  <c r="C66" i="83" s="1"/>
  <c r="J24" i="83"/>
  <c r="J18" i="83"/>
  <c r="C38" i="83"/>
  <c r="C32" i="83"/>
  <c r="C24" i="83"/>
  <c r="C38" i="82"/>
  <c r="C32" i="82"/>
  <c r="C66" i="82"/>
  <c r="C60" i="82"/>
  <c r="D3" i="33"/>
  <c r="AA7" i="40"/>
  <c r="R42" i="40" s="1"/>
  <c r="S7" i="40"/>
  <c r="W7" i="40"/>
  <c r="AC7" i="40"/>
  <c r="V42" i="40" s="1"/>
  <c r="I42" i="40" s="1"/>
  <c r="I52" i="37"/>
  <c r="J52" i="37" s="1"/>
  <c r="K52" i="37" s="1"/>
  <c r="L52" i="37" s="1"/>
  <c r="M52" i="37" s="1"/>
  <c r="N52" i="37" s="1"/>
  <c r="O52" i="37" s="1"/>
  <c r="F7" i="37"/>
  <c r="E43" i="35"/>
  <c r="F43" i="35" s="1"/>
  <c r="E42" i="35"/>
  <c r="F42" i="35" s="1"/>
  <c r="J7" i="37"/>
  <c r="E48" i="21"/>
  <c r="R49" i="21"/>
  <c r="C39" i="35"/>
  <c r="B2" i="35" s="1"/>
  <c r="B3" i="35" s="1"/>
  <c r="C38" i="35"/>
  <c r="E54" i="34"/>
  <c r="F54" i="34" s="1"/>
  <c r="E53" i="34"/>
  <c r="F53" i="34" s="1"/>
  <c r="G53" i="34"/>
  <c r="H53" i="34" s="1"/>
  <c r="G54" i="34"/>
  <c r="H54" i="34" s="1"/>
  <c r="H7" i="40"/>
  <c r="C49" i="79"/>
  <c r="C48" i="79"/>
  <c r="I43" i="35"/>
  <c r="J43" i="35" s="1"/>
  <c r="I54" i="34"/>
  <c r="J54" i="34" s="1"/>
  <c r="H7" i="37"/>
  <c r="H46" i="36"/>
  <c r="I46" i="36" s="1"/>
  <c r="J46" i="36" s="1"/>
  <c r="K46" i="36" s="1"/>
  <c r="L46" i="36" s="1"/>
  <c r="M46" i="36" s="1"/>
  <c r="N46" i="36" s="1"/>
  <c r="O46" i="36" s="1"/>
  <c r="F7" i="36" s="1"/>
  <c r="C50" i="34"/>
  <c r="C49" i="34"/>
  <c r="E53" i="79"/>
  <c r="F53" i="79" s="1"/>
  <c r="E52" i="79"/>
  <c r="F52" i="79" s="1"/>
  <c r="G68" i="39"/>
  <c r="F70" i="39"/>
  <c r="C60" i="77"/>
  <c r="C66" i="77"/>
  <c r="C66" i="67"/>
  <c r="C60" i="67"/>
  <c r="C60" i="78"/>
  <c r="C66" i="78"/>
  <c r="C26" i="69"/>
  <c r="D22" i="69" s="1"/>
  <c r="C44" i="69"/>
  <c r="D41" i="69" s="1"/>
  <c r="J18" i="15"/>
  <c r="J24" i="15"/>
  <c r="J26" i="15"/>
  <c r="J29" i="15" s="1"/>
  <c r="C38" i="15"/>
  <c r="C32" i="15"/>
  <c r="C26" i="67"/>
  <c r="C26" i="11"/>
  <c r="D22" i="11" s="1"/>
  <c r="C44" i="11"/>
  <c r="D41" i="11" s="1"/>
  <c r="C23" i="11"/>
  <c r="C26" i="68"/>
  <c r="D22" i="68" s="1"/>
  <c r="C44" i="68"/>
  <c r="D41" i="68" s="1"/>
  <c r="C26" i="12"/>
  <c r="D25" i="12" s="1"/>
  <c r="C32" i="77"/>
  <c r="C38" i="77"/>
  <c r="C38" i="67"/>
  <c r="C32" i="67"/>
  <c r="C23" i="77"/>
  <c r="C29" i="77" s="1"/>
  <c r="C32" i="78"/>
  <c r="C38" i="78"/>
  <c r="C60" i="15"/>
  <c r="C66" i="15"/>
  <c r="C23" i="67"/>
  <c r="C23" i="78"/>
  <c r="C29" i="78" s="1"/>
  <c r="F41" i="83"/>
  <c r="F41" i="82"/>
  <c r="C49" i="33" l="1"/>
  <c r="S3" i="81" s="1"/>
  <c r="U3" i="81" s="1"/>
  <c r="E34" i="88"/>
  <c r="E35" i="43"/>
  <c r="G36" i="88"/>
  <c r="I36" i="88" s="1"/>
  <c r="G37" i="88"/>
  <c r="I37" i="88" s="1"/>
  <c r="E33" i="88"/>
  <c r="E38" i="88"/>
  <c r="J29" i="82"/>
  <c r="F69" i="82"/>
  <c r="J29" i="83"/>
  <c r="F69" i="83"/>
  <c r="G36" i="43"/>
  <c r="I36" i="43" s="1"/>
  <c r="G34" i="43"/>
  <c r="I34" i="43" s="1"/>
  <c r="G38" i="43"/>
  <c r="I38" i="43" s="1"/>
  <c r="E33" i="43"/>
  <c r="G37" i="43"/>
  <c r="I37" i="43" s="1"/>
  <c r="E37" i="43"/>
  <c r="C60" i="83"/>
  <c r="J59" i="82"/>
  <c r="J60" i="82" s="1"/>
  <c r="F50" i="68"/>
  <c r="F50" i="11"/>
  <c r="F50" i="69"/>
  <c r="C29" i="67"/>
  <c r="J19" i="67" s="1"/>
  <c r="J17" i="67" s="1"/>
  <c r="S7" i="36"/>
  <c r="AA7" i="36"/>
  <c r="R36" i="36" s="1"/>
  <c r="J7" i="36"/>
  <c r="AB7" i="40"/>
  <c r="T42" i="40" s="1"/>
  <c r="G42" i="40" s="1"/>
  <c r="U7" i="40"/>
  <c r="E52" i="21"/>
  <c r="F52" i="21" s="1"/>
  <c r="E53" i="21"/>
  <c r="F53" i="21" s="1"/>
  <c r="I53" i="21"/>
  <c r="J53" i="21" s="1"/>
  <c r="H7" i="36"/>
  <c r="R43" i="40"/>
  <c r="E42" i="40"/>
  <c r="I47" i="40" s="1"/>
  <c r="J47" i="40" s="1"/>
  <c r="G70" i="39"/>
  <c r="H68" i="39"/>
  <c r="U7" i="37"/>
  <c r="AB7" i="37"/>
  <c r="T42" i="37" s="1"/>
  <c r="G42" i="37" s="1"/>
  <c r="C48" i="21"/>
  <c r="C49" i="21"/>
  <c r="W7" i="37"/>
  <c r="AC7" i="37"/>
  <c r="V42" i="37" s="1"/>
  <c r="I42" i="37" s="1"/>
  <c r="AA7" i="37"/>
  <c r="R42" i="37" s="1"/>
  <c r="S7" i="37"/>
  <c r="I46" i="40"/>
  <c r="J46" i="40" s="1"/>
  <c r="C13" i="78"/>
  <c r="C33" i="78"/>
  <c r="C31" i="78" s="1"/>
  <c r="J14" i="78"/>
  <c r="C36" i="78"/>
  <c r="C57" i="78"/>
  <c r="Q49" i="78"/>
  <c r="J19" i="78"/>
  <c r="J17" i="78" s="1"/>
  <c r="J59" i="78"/>
  <c r="J60" i="78" s="1"/>
  <c r="J59" i="15"/>
  <c r="J60" i="15" s="1"/>
  <c r="C13" i="77"/>
  <c r="C33" i="77"/>
  <c r="C31" i="77" s="1"/>
  <c r="C36" i="77"/>
  <c r="Q49" i="77"/>
  <c r="J14" i="77"/>
  <c r="C57" i="77"/>
  <c r="J19" i="77"/>
  <c r="J17" i="77" s="1"/>
  <c r="J59" i="77"/>
  <c r="J60" i="77" s="1"/>
  <c r="S6" i="81" l="1"/>
  <c r="U6" i="81" s="1"/>
  <c r="S4" i="81"/>
  <c r="U4" i="81" s="1"/>
  <c r="S5" i="81"/>
  <c r="U5" i="81" s="1"/>
  <c r="B2" i="33"/>
  <c r="B3" i="33" s="1"/>
  <c r="J59" i="83"/>
  <c r="J60" i="83" s="1"/>
  <c r="Q48" i="82"/>
  <c r="C57" i="67"/>
  <c r="C61" i="67" s="1"/>
  <c r="C59" i="67" s="1"/>
  <c r="J14" i="67"/>
  <c r="J13" i="67" s="1"/>
  <c r="J23" i="67" s="1"/>
  <c r="C36" i="67"/>
  <c r="C13" i="67"/>
  <c r="Q70" i="67" s="1"/>
  <c r="J59" i="67"/>
  <c r="J60" i="67" s="1"/>
  <c r="Q48" i="67" s="1"/>
  <c r="Q49" i="67"/>
  <c r="C33" i="67"/>
  <c r="C31" i="67" s="1"/>
  <c r="I46" i="37"/>
  <c r="J46" i="37" s="1"/>
  <c r="G46" i="37"/>
  <c r="H46" i="37" s="1"/>
  <c r="G47" i="37"/>
  <c r="H47" i="37" s="1"/>
  <c r="I68" i="39"/>
  <c r="H70" i="39"/>
  <c r="E46" i="40"/>
  <c r="F46" i="40" s="1"/>
  <c r="E47" i="40"/>
  <c r="F47" i="40" s="1"/>
  <c r="AB7" i="36"/>
  <c r="T36" i="36" s="1"/>
  <c r="G36" i="36" s="1"/>
  <c r="U7" i="36"/>
  <c r="AC7" i="36"/>
  <c r="V36" i="36" s="1"/>
  <c r="I36" i="36" s="1"/>
  <c r="W7" i="36"/>
  <c r="R37" i="36"/>
  <c r="E36" i="36"/>
  <c r="E42" i="37"/>
  <c r="I47" i="37" s="1"/>
  <c r="J47" i="37" s="1"/>
  <c r="R43" i="37"/>
  <c r="C43" i="40"/>
  <c r="C42" i="40"/>
  <c r="G47" i="40"/>
  <c r="H47" i="40" s="1"/>
  <c r="G46" i="40"/>
  <c r="H46" i="40" s="1"/>
  <c r="Q48" i="77"/>
  <c r="L46" i="77"/>
  <c r="C61" i="77"/>
  <c r="C59" i="77" s="1"/>
  <c r="C64" i="77"/>
  <c r="Q48" i="15"/>
  <c r="Q48" i="78"/>
  <c r="L46" i="78"/>
  <c r="J22" i="77"/>
  <c r="J13" i="77"/>
  <c r="J23" i="77" s="1"/>
  <c r="C56" i="77"/>
  <c r="C65" i="77" s="1"/>
  <c r="C37" i="77"/>
  <c r="C30" i="77" s="1"/>
  <c r="C39" i="77" s="1"/>
  <c r="C75" i="77"/>
  <c r="Q70" i="77"/>
  <c r="C61" i="78"/>
  <c r="C59" i="78" s="1"/>
  <c r="C64" i="78"/>
  <c r="J22" i="78"/>
  <c r="J13" i="78"/>
  <c r="J23" i="78" s="1"/>
  <c r="C56" i="78"/>
  <c r="C65" i="78" s="1"/>
  <c r="C37" i="78"/>
  <c r="C30" i="78" s="1"/>
  <c r="C39" i="78" s="1"/>
  <c r="C75" i="78"/>
  <c r="Q70" i="78"/>
  <c r="E6" i="76"/>
  <c r="B6" i="76"/>
  <c r="U7" i="81" l="1"/>
  <c r="V7" i="81" s="1"/>
  <c r="D6" i="12" s="1"/>
  <c r="E2" i="76"/>
  <c r="C64" i="67"/>
  <c r="Q48" i="83"/>
  <c r="C75" i="67"/>
  <c r="J22" i="67"/>
  <c r="J16" i="67" s="1"/>
  <c r="J25" i="67" s="1"/>
  <c r="C56" i="67"/>
  <c r="C65" i="67" s="1"/>
  <c r="C37" i="67"/>
  <c r="C30" i="67" s="1"/>
  <c r="C39" i="67" s="1"/>
  <c r="C40" i="67" s="1"/>
  <c r="L46" i="67"/>
  <c r="B2" i="76"/>
  <c r="B3" i="76" s="1"/>
  <c r="C43" i="37"/>
  <c r="C42" i="37"/>
  <c r="E40" i="36"/>
  <c r="F40" i="36" s="1"/>
  <c r="E41" i="36"/>
  <c r="F41" i="36" s="1"/>
  <c r="I41" i="36"/>
  <c r="J41" i="36" s="1"/>
  <c r="I40" i="36"/>
  <c r="J40" i="36" s="1"/>
  <c r="G40" i="36"/>
  <c r="H40" i="36" s="1"/>
  <c r="G41" i="36"/>
  <c r="H41" i="36" s="1"/>
  <c r="J68" i="39"/>
  <c r="I70" i="39"/>
  <c r="B57" i="40"/>
  <c r="F57" i="40" s="1"/>
  <c r="B58" i="40"/>
  <c r="F58" i="40" s="1"/>
  <c r="B59" i="40"/>
  <c r="F59" i="40" s="1"/>
  <c r="B52" i="40"/>
  <c r="F52" i="40" s="1"/>
  <c r="B56" i="40"/>
  <c r="F56" i="40" s="1"/>
  <c r="B51" i="40"/>
  <c r="F51" i="40" s="1"/>
  <c r="B54" i="40"/>
  <c r="F54" i="40" s="1"/>
  <c r="B55" i="40"/>
  <c r="F55" i="40" s="1"/>
  <c r="B53" i="40"/>
  <c r="F53" i="40" s="1"/>
  <c r="B60" i="40"/>
  <c r="F60" i="40" s="1"/>
  <c r="E47" i="37"/>
  <c r="F47" i="37" s="1"/>
  <c r="E46" i="37"/>
  <c r="F46" i="37" s="1"/>
  <c r="C36" i="36"/>
  <c r="C37" i="36"/>
  <c r="B2" i="36" s="1"/>
  <c r="B3" i="36" s="1"/>
  <c r="J16" i="77"/>
  <c r="J25" i="77" s="1"/>
  <c r="J16" i="78"/>
  <c r="J25" i="78" s="1"/>
  <c r="C58" i="78"/>
  <c r="C67" i="78" s="1"/>
  <c r="C68" i="78" s="1"/>
  <c r="C71" i="78" s="1"/>
  <c r="Q69" i="78"/>
  <c r="Q68" i="78" s="1"/>
  <c r="C40" i="78"/>
  <c r="Q69" i="77"/>
  <c r="Q68" i="77" s="1"/>
  <c r="C40" i="77"/>
  <c r="C80" i="77"/>
  <c r="C79" i="77" s="1"/>
  <c r="C58" i="77"/>
  <c r="C67" i="77" s="1"/>
  <c r="C68" i="77" s="1"/>
  <c r="C80" i="78"/>
  <c r="C79" i="78" s="1"/>
  <c r="L51" i="78"/>
  <c r="L51" i="77"/>
  <c r="D8" i="12" l="1"/>
  <c r="C58" i="67"/>
  <c r="C67" i="67" s="1"/>
  <c r="C68" i="67" s="1"/>
  <c r="C71" i="67" s="1"/>
  <c r="C46" i="78"/>
  <c r="C80" i="67"/>
  <c r="C79" i="67" s="1"/>
  <c r="Q69" i="67"/>
  <c r="Q68" i="67" s="1"/>
  <c r="K68" i="39"/>
  <c r="J70" i="39"/>
  <c r="L57" i="15"/>
  <c r="L60" i="15" s="1"/>
  <c r="L46" i="15" s="1"/>
  <c r="Q67" i="77"/>
  <c r="L57" i="77"/>
  <c r="L60" i="77" s="1"/>
  <c r="Q67" i="78"/>
  <c r="L57" i="78"/>
  <c r="L60" i="78" s="1"/>
  <c r="C71" i="77"/>
  <c r="C46" i="77"/>
  <c r="Q65" i="77"/>
  <c r="Q47" i="77"/>
  <c r="Q53" i="77" s="1"/>
  <c r="C43" i="77"/>
  <c r="Q56" i="77"/>
  <c r="B2" i="77"/>
  <c r="B3" i="77" s="1"/>
  <c r="C83" i="77"/>
  <c r="C82" i="77" s="1"/>
  <c r="Q65" i="78"/>
  <c r="Q56" i="78"/>
  <c r="Q47" i="78"/>
  <c r="Q53" i="78" s="1"/>
  <c r="C43" i="78"/>
  <c r="B2" i="78"/>
  <c r="B3" i="78" s="1"/>
  <c r="C83" i="78"/>
  <c r="C82" i="78" s="1"/>
  <c r="C43" i="67"/>
  <c r="Q65" i="67"/>
  <c r="Q56" i="67"/>
  <c r="Q47" i="67"/>
  <c r="Q53" i="67" s="1"/>
  <c r="D2" i="67"/>
  <c r="C83" i="67"/>
  <c r="C82" i="67" s="1"/>
  <c r="L51" i="67"/>
  <c r="L57" i="67" l="1"/>
  <c r="L60" i="67" s="1"/>
  <c r="Q66" i="67" s="1"/>
  <c r="Q75" i="67" s="1"/>
  <c r="Q67" i="67"/>
  <c r="C45" i="67"/>
  <c r="C46" i="67" s="1"/>
  <c r="L57" i="82"/>
  <c r="L60" i="82" s="1"/>
  <c r="L46" i="82" s="1"/>
  <c r="L57" i="83"/>
  <c r="L60" i="83" s="1"/>
  <c r="L46" i="83" s="1"/>
  <c r="L68" i="39"/>
  <c r="K70" i="39"/>
  <c r="Q57" i="78"/>
  <c r="Q62" i="78" s="1"/>
  <c r="Q66" i="78"/>
  <c r="Q75" i="78" s="1"/>
  <c r="Q57" i="77"/>
  <c r="Q62" i="77" s="1"/>
  <c r="Q66" i="77"/>
  <c r="Q75" i="77" s="1"/>
  <c r="Q57" i="15"/>
  <c r="Q66" i="15"/>
  <c r="B2" i="67"/>
  <c r="B3" i="67"/>
  <c r="Q57" i="67" l="1"/>
  <c r="Q62" i="67" s="1"/>
  <c r="Q57" i="82"/>
  <c r="Q66" i="82"/>
  <c r="Q66" i="83"/>
  <c r="Q57" i="83"/>
  <c r="M68" i="39"/>
  <c r="L70" i="39"/>
  <c r="N68" i="39" l="1"/>
  <c r="M70" i="39"/>
  <c r="O68" i="39" l="1"/>
  <c r="O70" i="39" s="1"/>
  <c r="N70" i="39"/>
  <c r="J7" i="39" l="1"/>
  <c r="H7" i="39"/>
  <c r="F7" i="39"/>
  <c r="S7" i="39" l="1"/>
  <c r="AA7" i="39"/>
  <c r="R47" i="39" s="1"/>
  <c r="AB7" i="39"/>
  <c r="T47" i="39" s="1"/>
  <c r="G47" i="39" s="1"/>
  <c r="U7" i="39"/>
  <c r="AC7" i="39"/>
  <c r="V47" i="39" s="1"/>
  <c r="I47" i="39" s="1"/>
  <c r="W7" i="39"/>
  <c r="G52" i="39" l="1"/>
  <c r="H52" i="39" s="1"/>
  <c r="G51" i="39"/>
  <c r="H51" i="39" s="1"/>
  <c r="E47" i="39"/>
  <c r="I52" i="39" s="1"/>
  <c r="J52" i="39" s="1"/>
  <c r="R48" i="39"/>
  <c r="I51" i="39"/>
  <c r="J51" i="39" s="1"/>
  <c r="C47" i="39" l="1"/>
  <c r="C48" i="39"/>
  <c r="E51" i="39"/>
  <c r="F51" i="39" s="1"/>
  <c r="E52" i="39"/>
  <c r="F52" i="39" s="1"/>
  <c r="B61" i="39" l="1"/>
  <c r="F61" i="39" s="1"/>
  <c r="B60" i="39"/>
  <c r="F60" i="39" s="1"/>
  <c r="B56" i="39"/>
  <c r="F56" i="39" s="1"/>
  <c r="F66" i="39" s="1"/>
  <c r="B2" i="39" s="1"/>
  <c r="B58" i="39"/>
  <c r="F58" i="39" s="1"/>
  <c r="B59" i="39"/>
  <c r="F59" i="39" s="1"/>
  <c r="B64" i="39"/>
  <c r="F64" i="39" s="1"/>
  <c r="B65" i="39"/>
  <c r="F65" i="39" s="1"/>
  <c r="B57" i="39"/>
  <c r="F57" i="39" s="1"/>
  <c r="B63" i="39"/>
  <c r="F63" i="39" s="1"/>
  <c r="B62" i="39"/>
  <c r="F62" i="39" s="1"/>
  <c r="BR17" i="3"/>
  <c r="BR5" i="3" s="1"/>
  <c r="G28" i="6" s="1"/>
  <c r="G30" i="6" s="1"/>
  <c r="G31" i="6" s="1"/>
  <c r="AN5" i="3"/>
  <c r="AC17" i="3"/>
  <c r="AC5" i="3" s="1"/>
  <c r="G17" i="3" l="1"/>
  <c r="G5" i="3" s="1"/>
  <c r="B3" i="3" s="1"/>
  <c r="E329" i="3" s="1"/>
  <c r="AN6" i="3"/>
  <c r="E566" i="3"/>
  <c r="E24" i="3"/>
  <c r="E362" i="3"/>
  <c r="E137" i="3"/>
  <c r="E364" i="3"/>
  <c r="E335" i="3"/>
  <c r="E160" i="3"/>
  <c r="E276" i="3"/>
  <c r="E38" i="3"/>
  <c r="E147" i="3"/>
  <c r="E136" i="3"/>
  <c r="E448" i="3"/>
  <c r="E475" i="3"/>
  <c r="E250" i="3"/>
  <c r="E234" i="3"/>
  <c r="P6" i="3"/>
  <c r="E333" i="3"/>
  <c r="E340" i="3"/>
  <c r="E374" i="3"/>
  <c r="E425" i="3"/>
  <c r="E68" i="3"/>
  <c r="E214" i="3"/>
  <c r="E102" i="3"/>
  <c r="E220" i="3"/>
  <c r="E356" i="3"/>
  <c r="E66" i="3"/>
  <c r="E459" i="3"/>
  <c r="E415" i="3"/>
  <c r="E500" i="3"/>
  <c r="E186" i="3"/>
  <c r="E67" i="3"/>
  <c r="E152" i="3"/>
  <c r="E487" i="3"/>
  <c r="E51" i="3"/>
  <c r="E74" i="3"/>
  <c r="E299" i="3"/>
  <c r="E176" i="3"/>
  <c r="E460" i="3"/>
  <c r="E87" i="3"/>
  <c r="E14" i="3"/>
  <c r="E194" i="3"/>
  <c r="E50" i="3"/>
  <c r="AR6" i="3"/>
  <c r="E413" i="3"/>
  <c r="E369" i="3"/>
  <c r="E202" i="3"/>
  <c r="E36" i="3"/>
  <c r="E72" i="3"/>
  <c r="E75" i="3"/>
  <c r="E365" i="3"/>
  <c r="E421" i="3"/>
  <c r="E384" i="3"/>
  <c r="E267" i="3"/>
  <c r="E184" i="3"/>
  <c r="E264" i="3"/>
  <c r="E171" i="3"/>
  <c r="E315" i="3"/>
  <c r="E287" i="3"/>
  <c r="E232" i="3"/>
  <c r="E383" i="3"/>
  <c r="E78" i="3"/>
  <c r="E94" i="3"/>
  <c r="E281" i="3"/>
  <c r="Y6" i="3"/>
  <c r="E484" i="3"/>
  <c r="E542" i="3"/>
  <c r="E507" i="3"/>
  <c r="E579" i="3"/>
  <c r="E493" i="3"/>
  <c r="E576" i="3"/>
  <c r="E57" i="3"/>
  <c r="E44" i="3"/>
  <c r="E233" i="3"/>
  <c r="E208" i="3"/>
  <c r="E357" i="3"/>
  <c r="E158" i="3"/>
  <c r="E206" i="3"/>
  <c r="E324" i="3"/>
  <c r="E96" i="3"/>
  <c r="E60" i="3"/>
  <c r="E243" i="3"/>
  <c r="E19" i="3"/>
  <c r="E46" i="3"/>
  <c r="E457" i="3"/>
  <c r="E570" i="3"/>
  <c r="E69" i="3"/>
  <c r="E382" i="3"/>
  <c r="E350" i="3"/>
  <c r="E583" i="3"/>
  <c r="E453" i="3"/>
  <c r="E410" i="3"/>
  <c r="E539" i="3"/>
  <c r="E352" i="3"/>
  <c r="E338" i="3"/>
  <c r="E578" i="3"/>
  <c r="E301" i="3"/>
  <c r="E368" i="3"/>
  <c r="E172" i="3"/>
  <c r="E169" i="3"/>
  <c r="E177" i="3"/>
  <c r="E569" i="3"/>
  <c r="E213" i="3"/>
  <c r="O6" i="3"/>
  <c r="E165" i="3"/>
  <c r="E85" i="3"/>
  <c r="E573" i="3"/>
  <c r="E527" i="3"/>
  <c r="E551" i="3"/>
  <c r="E221" i="3"/>
  <c r="E515" i="3"/>
  <c r="E477" i="3"/>
  <c r="AS6" i="3"/>
  <c r="E249" i="3"/>
  <c r="E100" i="3"/>
  <c r="E427" i="3"/>
  <c r="E242" i="3"/>
  <c r="E112" i="3"/>
  <c r="E252" i="3"/>
  <c r="E29" i="3"/>
  <c r="E355" i="3"/>
  <c r="E256" i="3"/>
  <c r="E113" i="3"/>
  <c r="E235" i="3"/>
  <c r="E42" i="3"/>
  <c r="E127" i="3"/>
  <c r="E436" i="3"/>
  <c r="E314" i="3"/>
  <c r="E416" i="3"/>
  <c r="E54" i="3"/>
  <c r="E23" i="3"/>
  <c r="E513" i="3"/>
  <c r="E318" i="3"/>
  <c r="E34" i="3"/>
  <c r="E412" i="3"/>
  <c r="E225" i="3"/>
  <c r="E109" i="3"/>
  <c r="E564" i="3"/>
  <c r="E396" i="3"/>
  <c r="E565" i="3"/>
  <c r="E388" i="3"/>
  <c r="E128" i="3"/>
  <c r="E239" i="3"/>
  <c r="E337" i="3"/>
  <c r="E122" i="3"/>
  <c r="E151" i="3"/>
  <c r="E501" i="3"/>
  <c r="E116" i="3"/>
  <c r="E471" i="3"/>
  <c r="E300" i="3"/>
  <c r="E283" i="3"/>
  <c r="E257" i="3"/>
  <c r="E22" i="3"/>
  <c r="AF6" i="3"/>
  <c r="E35" i="3"/>
  <c r="E174" i="3"/>
  <c r="E428" i="3"/>
  <c r="E372" i="3"/>
  <c r="E198" i="3"/>
  <c r="E48" i="3"/>
  <c r="E272" i="3"/>
  <c r="E582" i="3"/>
  <c r="E227" i="3"/>
  <c r="E191" i="3"/>
  <c r="E125" i="3"/>
  <c r="E431" i="3"/>
  <c r="E156" i="3"/>
  <c r="E568" i="3"/>
  <c r="E305" i="3"/>
  <c r="E563" i="3"/>
  <c r="S6" i="3"/>
  <c r="E61" i="3"/>
  <c r="E528" i="3"/>
  <c r="E526" i="3"/>
  <c r="E508" i="3"/>
  <c r="E390" i="3"/>
  <c r="E120" i="3"/>
  <c r="E330" i="3"/>
  <c r="E261" i="3"/>
  <c r="AK6" i="3"/>
  <c r="E550" i="3"/>
  <c r="E231" i="3"/>
  <c r="E393" i="3"/>
  <c r="E458" i="3"/>
  <c r="E246" i="3"/>
  <c r="E294" i="3"/>
  <c r="E107" i="3"/>
  <c r="E414" i="3"/>
  <c r="E505" i="3"/>
  <c r="E164" i="3"/>
  <c r="E346" i="3"/>
  <c r="E289" i="3"/>
  <c r="E480" i="3"/>
  <c r="E455" i="3"/>
  <c r="E503" i="3"/>
  <c r="E537" i="3"/>
  <c r="E310" i="3"/>
  <c r="E309" i="3"/>
  <c r="E394" i="3"/>
  <c r="E49" i="3"/>
  <c r="E18" i="3"/>
  <c r="E139" i="3"/>
  <c r="E317" i="3"/>
  <c r="E140" i="3"/>
  <c r="E486" i="3"/>
  <c r="E312" i="3"/>
  <c r="E441" i="3"/>
  <c r="E381" i="3"/>
  <c r="E279" i="3"/>
  <c r="E80" i="3"/>
  <c r="E275" i="3"/>
  <c r="L6" i="3"/>
  <c r="E284" i="3"/>
  <c r="E135" i="3"/>
  <c r="E366" i="3"/>
  <c r="E495" i="3"/>
  <c r="E536" i="3"/>
  <c r="E445" i="3"/>
  <c r="E298" i="3"/>
  <c r="E201" i="3"/>
  <c r="E510" i="3"/>
  <c r="E133" i="3"/>
  <c r="E262" i="3"/>
  <c r="E561" i="3"/>
  <c r="E529" i="3"/>
  <c r="E407" i="3"/>
  <c r="E478" i="3"/>
  <c r="E402" i="3"/>
  <c r="E325" i="3"/>
  <c r="E31" i="3"/>
  <c r="E39" i="3"/>
  <c r="E81" i="3"/>
  <c r="E370" i="3"/>
  <c r="X6" i="3"/>
  <c r="E367" i="3"/>
  <c r="E167" i="3"/>
  <c r="E103" i="3"/>
  <c r="E190" i="3"/>
  <c r="E200" i="3"/>
  <c r="E188" i="3"/>
  <c r="E331" i="3"/>
  <c r="E150" i="3"/>
  <c r="E342" i="3"/>
  <c r="E323" i="3"/>
  <c r="E302" i="3"/>
  <c r="E244" i="3"/>
  <c r="E506" i="3"/>
  <c r="E175" i="3"/>
  <c r="AJ6" i="3"/>
  <c r="E532" i="3"/>
  <c r="E585" i="3"/>
  <c r="E476" i="3"/>
  <c r="E27" i="3"/>
  <c r="E199" i="3"/>
  <c r="E541" i="3"/>
  <c r="E556" i="3"/>
  <c r="E452" i="3"/>
  <c r="E104" i="3"/>
  <c r="E132" i="3"/>
  <c r="E292" i="3"/>
  <c r="E544" i="3"/>
  <c r="E163" i="3"/>
  <c r="E462" i="3"/>
  <c r="E377" i="3"/>
  <c r="E73" i="3"/>
  <c r="AE6" i="3"/>
  <c r="E212" i="3"/>
  <c r="E435" i="3"/>
  <c r="E485" i="3"/>
  <c r="E387" i="3"/>
  <c r="E405" i="3"/>
  <c r="E538" i="3"/>
  <c r="E296" i="3"/>
  <c r="E518" i="3"/>
  <c r="E196" i="3"/>
  <c r="E343" i="3"/>
  <c r="E523" i="3"/>
  <c r="E45" i="3"/>
  <c r="E519" i="3"/>
  <c r="E303" i="3"/>
  <c r="E306" i="3"/>
  <c r="E53" i="3"/>
  <c r="E439" i="3"/>
  <c r="E105" i="3"/>
  <c r="E437" i="3"/>
  <c r="E336" i="3"/>
  <c r="E320" i="3"/>
  <c r="E145" i="3"/>
  <c r="E548" i="3"/>
  <c r="E558" i="3"/>
  <c r="E444" i="3"/>
  <c r="E88" i="3"/>
  <c r="E253" i="3"/>
  <c r="E466" i="3"/>
  <c r="E376" i="3"/>
  <c r="E419" i="3"/>
  <c r="E40" i="3"/>
  <c r="E187" i="3"/>
  <c r="E259" i="3"/>
  <c r="E504" i="3"/>
  <c r="E266" i="3"/>
  <c r="E47" i="3"/>
  <c r="E30" i="3"/>
  <c r="E166" i="3"/>
  <c r="E468" i="3"/>
  <c r="E552" i="3"/>
  <c r="E255" i="3"/>
  <c r="E512" i="3"/>
  <c r="E328" i="3"/>
  <c r="E398" i="3"/>
  <c r="AP6" i="3"/>
  <c r="E124" i="3"/>
  <c r="E260" i="3"/>
  <c r="AI6" i="3"/>
  <c r="E32" i="3"/>
  <c r="E341" i="3"/>
  <c r="E197" i="3"/>
  <c r="E33" i="3"/>
  <c r="E326" i="3"/>
  <c r="E488" i="3"/>
  <c r="E571" i="3"/>
  <c r="E189" i="3"/>
  <c r="E142" i="3"/>
  <c r="E351" i="3"/>
  <c r="E129" i="3"/>
  <c r="E371" i="3"/>
  <c r="E282" i="3"/>
  <c r="E143" i="3"/>
  <c r="E269" i="3"/>
  <c r="E418" i="3"/>
  <c r="E97" i="3"/>
  <c r="E474" i="3"/>
  <c r="E432" i="3"/>
  <c r="E546" i="3"/>
  <c r="E92" i="3"/>
  <c r="E575" i="3"/>
  <c r="E408" i="3"/>
  <c r="E497" i="3"/>
  <c r="E470" i="3"/>
  <c r="E41" i="3"/>
  <c r="E192" i="3"/>
  <c r="E363" i="3"/>
  <c r="E354" i="3"/>
  <c r="E138" i="3"/>
  <c r="E59" i="3"/>
  <c r="E273" i="3"/>
  <c r="E55" i="3"/>
  <c r="E344" i="3"/>
  <c r="E95" i="3"/>
  <c r="E554" i="3"/>
  <c r="Z6" i="3"/>
  <c r="E514" i="3"/>
  <c r="E534" i="3"/>
  <c r="E567" i="3"/>
  <c r="E268" i="3"/>
  <c r="E183" i="3"/>
  <c r="E549" i="3"/>
  <c r="E535" i="3"/>
  <c r="E321" i="3"/>
  <c r="E224" i="3"/>
  <c r="E361" i="3"/>
  <c r="E247" i="3"/>
  <c r="E511" i="3"/>
  <c r="E395" i="3"/>
  <c r="E185" i="3"/>
  <c r="K6" i="3"/>
  <c r="E472" i="3"/>
  <c r="E293" i="3"/>
  <c r="E230" i="3"/>
  <c r="E379" i="3"/>
  <c r="E400" i="3"/>
  <c r="E557" i="3"/>
  <c r="E489" i="3"/>
  <c r="E70" i="3"/>
  <c r="E286" i="3"/>
  <c r="E422" i="3"/>
  <c r="AH6" i="3"/>
  <c r="E483" i="3"/>
  <c r="E25" i="3"/>
  <c r="E155" i="3"/>
  <c r="E348" i="3"/>
  <c r="E58" i="3"/>
  <c r="E248" i="3"/>
  <c r="E521" i="3"/>
  <c r="E334" i="3"/>
  <c r="E146" i="3"/>
  <c r="E577" i="3"/>
  <c r="E161" i="3"/>
  <c r="AO6" i="3"/>
  <c r="T6" i="3"/>
  <c r="E304" i="3"/>
  <c r="E141" i="3"/>
  <c r="E430" i="3"/>
  <c r="E456" i="3"/>
  <c r="E16" i="3"/>
  <c r="E271" i="3"/>
  <c r="E222" i="3"/>
  <c r="E62" i="3"/>
  <c r="E274" i="3"/>
  <c r="E332" i="3"/>
  <c r="E91" i="3"/>
  <c r="E520" i="3"/>
  <c r="E144" i="3"/>
  <c r="E308" i="3"/>
  <c r="E43" i="3"/>
  <c r="E433" i="3"/>
  <c r="E99" i="3"/>
  <c r="E530" i="3"/>
  <c r="N6" i="3"/>
  <c r="E277" i="3"/>
  <c r="E114" i="3"/>
  <c r="E358" i="3"/>
  <c r="E547" i="3"/>
  <c r="E447" i="3"/>
  <c r="E290" i="3"/>
  <c r="R6" i="3"/>
  <c r="E451" i="3"/>
  <c r="E13" i="3"/>
  <c r="E420" i="3"/>
  <c r="E115" i="3"/>
  <c r="E258" i="3"/>
  <c r="E349" i="3"/>
  <c r="E307" i="3"/>
  <c r="E98" i="3"/>
  <c r="E76" i="3"/>
  <c r="E211" i="3"/>
  <c r="E496" i="3"/>
  <c r="E424" i="3"/>
  <c r="E56" i="3"/>
  <c r="I3" i="6"/>
  <c r="E204" i="3"/>
  <c r="E399" i="3"/>
  <c r="E173" i="3"/>
  <c r="E319" i="3"/>
  <c r="E229" i="3"/>
  <c r="E586" i="3"/>
  <c r="E397" i="3"/>
  <c r="E278" i="3"/>
  <c r="E148" i="3"/>
  <c r="E193" i="3"/>
  <c r="E245" i="3"/>
  <c r="E217" i="3"/>
  <c r="E359" i="3"/>
  <c r="E461" i="3"/>
  <c r="E157" i="3"/>
  <c r="Q6" i="3"/>
  <c r="E481" i="3"/>
  <c r="E559" i="3"/>
  <c r="E254" i="3"/>
  <c r="U6" i="3"/>
  <c r="E443" i="3"/>
  <c r="E581" i="3"/>
  <c r="E404" i="3"/>
  <c r="E121" i="3"/>
  <c r="E499" i="3"/>
  <c r="E440" i="3"/>
  <c r="J6" i="3"/>
  <c r="E401" i="3"/>
  <c r="E108" i="3"/>
  <c r="E240" i="3"/>
  <c r="E378" i="3"/>
  <c r="E584" i="3"/>
  <c r="E195" i="3"/>
  <c r="E540" i="3"/>
  <c r="E316" i="3"/>
  <c r="E106" i="3"/>
  <c r="E587" i="3"/>
  <c r="E479" i="3"/>
  <c r="E180" i="3"/>
  <c r="E223" i="3"/>
  <c r="E159" i="3"/>
  <c r="E37" i="3"/>
  <c r="E327" i="3"/>
  <c r="E525" i="3"/>
  <c r="E353" i="3"/>
  <c r="E450" i="3"/>
  <c r="E265" i="3"/>
  <c r="E219" i="3"/>
  <c r="E210" i="3"/>
  <c r="E203" i="3"/>
  <c r="E522" i="3"/>
  <c r="E179" i="3"/>
  <c r="E423" i="3"/>
  <c r="W6" i="3"/>
  <c r="E118" i="3"/>
  <c r="E251" i="3"/>
  <c r="E391" i="3"/>
  <c r="AG6" i="3"/>
  <c r="E322" i="3"/>
  <c r="E545" i="3"/>
  <c r="E237" i="3"/>
  <c r="E263" i="3"/>
  <c r="E228" i="3"/>
  <c r="E130" i="3"/>
  <c r="E403" i="3"/>
  <c r="E71" i="3"/>
  <c r="E77" i="3"/>
  <c r="E442" i="3"/>
  <c r="E360" i="3"/>
  <c r="E494" i="3"/>
  <c r="E26" i="3"/>
  <c r="E162" i="3"/>
  <c r="E241" i="3"/>
  <c r="E389" i="3"/>
  <c r="E209" i="3"/>
  <c r="E446" i="3"/>
  <c r="E572" i="3"/>
  <c r="E182" i="3"/>
  <c r="E429" i="3"/>
  <c r="E464" i="3"/>
  <c r="E417" i="3"/>
  <c r="E449" i="3"/>
  <c r="E134" i="3"/>
  <c r="E469" i="3"/>
  <c r="E181" i="3"/>
  <c r="E285" i="3"/>
  <c r="E385" i="3"/>
  <c r="E509" i="3"/>
  <c r="E555" i="3"/>
  <c r="E205" i="3"/>
  <c r="E89" i="3"/>
  <c r="E313" i="3"/>
  <c r="E553" i="3"/>
  <c r="E236" i="3"/>
  <c r="E426" i="3"/>
  <c r="E533" i="3"/>
  <c r="E238" i="3"/>
  <c r="E560" i="3"/>
  <c r="E406" i="3"/>
  <c r="V6" i="3"/>
  <c r="E207" i="3"/>
  <c r="E411" i="3"/>
  <c r="E345" i="3"/>
  <c r="E531" i="3"/>
  <c r="E28" i="3"/>
  <c r="E117" i="3"/>
  <c r="E502" i="3"/>
  <c r="E490" i="3"/>
  <c r="E498" i="3"/>
  <c r="E463" i="3"/>
  <c r="E178" i="3"/>
  <c r="E297" i="3"/>
  <c r="E375" i="3"/>
  <c r="E386" i="3"/>
  <c r="E65" i="3"/>
  <c r="E110" i="3"/>
  <c r="E295" i="3"/>
  <c r="E454" i="3"/>
  <c r="E465" i="3"/>
  <c r="E517" i="3"/>
  <c r="M6" i="3"/>
  <c r="E270" i="3"/>
  <c r="E347" i="3"/>
  <c r="E491" i="3"/>
  <c r="E215" i="3"/>
  <c r="E216" i="3"/>
  <c r="E516" i="3"/>
  <c r="I6" i="3"/>
  <c r="AD6" i="3"/>
  <c r="BQ17" i="3"/>
  <c r="BL17" i="3" s="1"/>
  <c r="AA6" i="3" l="1"/>
  <c r="E392" i="3"/>
  <c r="E373" i="3"/>
  <c r="E434" i="3"/>
  <c r="E15" i="3"/>
  <c r="AM6" i="3"/>
  <c r="E288" i="3"/>
  <c r="AB6" i="3"/>
  <c r="E101" i="3"/>
  <c r="E52" i="3"/>
  <c r="E473" i="3"/>
  <c r="E119" i="3"/>
  <c r="E291" i="3"/>
  <c r="E380" i="3"/>
  <c r="E123" i="3"/>
  <c r="E79" i="3"/>
  <c r="E226" i="3"/>
  <c r="E467" i="3"/>
  <c r="E280" i="3"/>
  <c r="E63" i="3"/>
  <c r="E64" i="3"/>
  <c r="E438" i="3"/>
  <c r="E311" i="3"/>
  <c r="E574" i="3"/>
  <c r="E111" i="3"/>
  <c r="E82" i="3"/>
  <c r="E482" i="3"/>
  <c r="E86" i="3"/>
  <c r="E83" i="3"/>
  <c r="E21" i="3"/>
  <c r="E84" i="3"/>
  <c r="E168" i="3"/>
  <c r="E153" i="3"/>
  <c r="E170" i="3"/>
  <c r="E492" i="3"/>
  <c r="E20" i="3"/>
  <c r="E580" i="3"/>
  <c r="E90" i="3"/>
  <c r="E149" i="3"/>
  <c r="E543" i="3"/>
  <c r="E218" i="3"/>
  <c r="E339" i="3"/>
  <c r="E93" i="3"/>
  <c r="E154" i="3"/>
  <c r="E562" i="3"/>
  <c r="E524" i="3"/>
  <c r="AQ6" i="3"/>
  <c r="E409" i="3"/>
  <c r="E131" i="3"/>
  <c r="E126" i="3"/>
  <c r="E17" i="3"/>
  <c r="H6" i="3"/>
  <c r="BQ5" i="3"/>
  <c r="F28" i="6" s="1"/>
  <c r="BL5" i="3"/>
  <c r="AZ17" i="3"/>
  <c r="AZ5" i="3" s="1"/>
  <c r="AY6" i="3" l="1"/>
  <c r="E3" i="6"/>
  <c r="F30" i="6"/>
  <c r="F31" i="6" s="1"/>
  <c r="E28" i="6"/>
  <c r="AL5" i="3"/>
  <c r="AL6" i="3" s="1"/>
  <c r="AC6" i="3" s="1"/>
  <c r="E6" i="3" s="1"/>
  <c r="I4" i="6" l="1"/>
  <c r="K23" i="6"/>
  <c r="M23" i="6" s="1"/>
  <c r="I23" i="6" s="1"/>
  <c r="S23" i="6" s="1"/>
  <c r="K24" i="6"/>
  <c r="M24" i="6" s="1"/>
  <c r="I24" i="6" s="1"/>
  <c r="S24" i="6" s="1"/>
  <c r="K26" i="6"/>
  <c r="M26" i="6" s="1"/>
  <c r="I26" i="6" s="1"/>
  <c r="S26" i="6" s="1"/>
  <c r="K25" i="6"/>
  <c r="M25" i="6" s="1"/>
  <c r="I25" i="6" s="1"/>
  <c r="S25" i="6" s="1"/>
  <c r="K22" i="6"/>
  <c r="E30" i="6"/>
  <c r="E31" i="6" s="1"/>
  <c r="K21" i="6"/>
  <c r="K20" i="6"/>
  <c r="K14" i="1"/>
  <c r="K19" i="6"/>
  <c r="L18" i="9"/>
  <c r="B3" i="39"/>
  <c r="C17" i="4"/>
  <c r="B4" i="52" s="1"/>
  <c r="B43" i="72" s="1"/>
  <c r="D3" i="34"/>
  <c r="B2" i="34" s="1"/>
  <c r="B3" i="34" s="1"/>
  <c r="D14" i="12"/>
  <c r="D3" i="21"/>
  <c r="B2" i="21" s="1"/>
  <c r="B3" i="21" s="1"/>
  <c r="M18" i="9"/>
  <c r="B118" i="9" s="1"/>
  <c r="B14" i="74" s="1"/>
  <c r="B1" i="74" s="1"/>
  <c r="D3" i="79"/>
  <c r="B2" i="79" s="1"/>
  <c r="B3" i="79" s="1"/>
  <c r="D37" i="11"/>
  <c r="D3" i="37"/>
  <c r="B2" i="37" s="1"/>
  <c r="B3" i="37" s="1"/>
  <c r="D19" i="11"/>
  <c r="C19" i="11" s="1"/>
  <c r="E6" i="6"/>
  <c r="AY87" i="3"/>
  <c r="AY144" i="3"/>
  <c r="AY152" i="3"/>
  <c r="AY253" i="3"/>
  <c r="AY303" i="3"/>
  <c r="AY529" i="3"/>
  <c r="AY98" i="3"/>
  <c r="AY23" i="3"/>
  <c r="AY59" i="3"/>
  <c r="AY58" i="3"/>
  <c r="AY371" i="3"/>
  <c r="AY428" i="3"/>
  <c r="AY245" i="3"/>
  <c r="AY132" i="3"/>
  <c r="AY220" i="3"/>
  <c r="AY199" i="3"/>
  <c r="AY342" i="3"/>
  <c r="AY513" i="3"/>
  <c r="AY553" i="3"/>
  <c r="AY60" i="3"/>
  <c r="AY170" i="3"/>
  <c r="AY299" i="3"/>
  <c r="AY246" i="3"/>
  <c r="AY357" i="3"/>
  <c r="AY41" i="3"/>
  <c r="AY114" i="3"/>
  <c r="AY377" i="3"/>
  <c r="AY491" i="3"/>
  <c r="AY414" i="3"/>
  <c r="AY561" i="3"/>
  <c r="AY16" i="3"/>
  <c r="AY96" i="3"/>
  <c r="AY169" i="3"/>
  <c r="AY223" i="3"/>
  <c r="AY74" i="3"/>
  <c r="AY363" i="3"/>
  <c r="AY229" i="3"/>
  <c r="AY481" i="3"/>
  <c r="AY562" i="3"/>
  <c r="AY89" i="3"/>
  <c r="AY36" i="3"/>
  <c r="AY146" i="3"/>
  <c r="AY302" i="3"/>
  <c r="AY222" i="3"/>
  <c r="AY444" i="3"/>
  <c r="AY420" i="3"/>
  <c r="AY61" i="3"/>
  <c r="AY133" i="3"/>
  <c r="AY397" i="3"/>
  <c r="AY166" i="3"/>
  <c r="AY348" i="3"/>
  <c r="BQ6" i="3"/>
  <c r="AY582" i="3"/>
  <c r="AY251" i="3"/>
  <c r="AY284" i="3"/>
  <c r="AY343" i="3"/>
  <c r="AY539" i="3"/>
  <c r="AY193" i="3"/>
  <c r="AY270" i="3"/>
  <c r="AY57" i="3"/>
  <c r="AY393" i="3"/>
  <c r="AY422" i="3"/>
  <c r="AY559" i="3"/>
  <c r="AY142" i="3"/>
  <c r="AY345" i="3"/>
  <c r="AY484" i="3"/>
  <c r="AY423" i="3"/>
  <c r="AY515" i="3"/>
  <c r="AY493" i="3"/>
  <c r="AY373" i="3"/>
  <c r="AY324" i="3"/>
  <c r="AY523" i="3"/>
  <c r="AY336" i="3"/>
  <c r="AY17" i="3"/>
  <c r="AY78" i="3"/>
  <c r="AY296" i="3"/>
  <c r="AY347" i="3"/>
  <c r="AY421" i="3"/>
  <c r="AY102" i="3"/>
  <c r="AY175" i="3"/>
  <c r="AY208" i="3"/>
  <c r="AY474" i="3"/>
  <c r="AY583" i="3"/>
  <c r="AY121" i="3"/>
  <c r="AY572" i="3"/>
  <c r="AY396" i="3"/>
  <c r="AY434" i="3"/>
  <c r="AY570" i="3"/>
  <c r="AY167" i="3"/>
  <c r="AY221" i="3"/>
  <c r="AY466" i="3"/>
  <c r="AY512" i="3"/>
  <c r="AY27" i="3"/>
  <c r="AY273" i="3"/>
  <c r="AY323" i="3"/>
  <c r="AY550" i="3"/>
  <c r="AY171" i="3"/>
  <c r="AY526" i="3"/>
  <c r="AY401" i="3"/>
  <c r="AY76" i="3"/>
  <c r="AY125" i="3"/>
  <c r="AY374" i="3"/>
  <c r="AY145" i="3"/>
  <c r="AY316" i="3"/>
  <c r="AY585" i="3"/>
  <c r="AY101" i="3"/>
  <c r="AY234" i="3"/>
  <c r="AY209" i="3"/>
  <c r="AY326" i="3"/>
  <c r="AY105" i="3"/>
  <c r="AY162" i="3"/>
  <c r="AY238" i="3"/>
  <c r="AY40" i="3"/>
  <c r="AY356" i="3"/>
  <c r="AY435" i="3"/>
  <c r="AY508" i="3"/>
  <c r="AY122" i="3"/>
  <c r="AY329" i="3"/>
  <c r="AY468" i="3"/>
  <c r="AY407" i="3"/>
  <c r="AY537" i="3"/>
  <c r="AY110" i="3"/>
  <c r="AY507" i="3"/>
  <c r="AY480" i="3"/>
  <c r="AY64" i="3"/>
  <c r="AY304" i="3"/>
  <c r="AY564" i="3"/>
  <c r="AY35" i="3"/>
  <c r="AY265" i="3"/>
  <c r="AY315" i="3"/>
  <c r="AY500" i="3"/>
  <c r="AY71" i="3"/>
  <c r="AY143" i="3"/>
  <c r="AY386" i="3"/>
  <c r="AY443" i="3"/>
  <c r="BT6" i="3"/>
  <c r="AY258" i="3"/>
  <c r="AY520" i="3"/>
  <c r="AY361" i="3"/>
  <c r="AY402" i="3"/>
  <c r="AY578" i="3"/>
  <c r="AY135" i="3"/>
  <c r="AY378" i="3"/>
  <c r="AY456" i="3"/>
  <c r="BL6" i="3"/>
  <c r="AY184" i="3"/>
  <c r="AY241" i="3"/>
  <c r="AY338" i="3"/>
  <c r="BD6" i="3"/>
  <c r="AY51" i="3"/>
  <c r="AY124" i="3"/>
  <c r="AY281" i="3"/>
  <c r="AY236" i="3"/>
  <c r="AY473" i="3"/>
  <c r="AY26" i="3"/>
  <c r="AY18" i="3"/>
  <c r="AY176" i="3"/>
  <c r="AY188" i="3"/>
  <c r="AY34" i="3"/>
  <c r="AY95" i="3"/>
  <c r="AY111" i="3"/>
  <c r="AY382" i="3"/>
  <c r="AY460" i="3"/>
  <c r="AY300" i="3"/>
  <c r="AY83" i="3"/>
  <c r="AY155" i="3"/>
  <c r="AY131" i="3"/>
  <c r="AY268" i="3"/>
  <c r="AY318" i="3"/>
  <c r="AY106" i="3"/>
  <c r="AY82" i="3"/>
  <c r="AY292" i="3"/>
  <c r="AY486" i="3"/>
  <c r="AY395" i="3"/>
  <c r="AY452" i="3"/>
  <c r="AY569" i="3"/>
  <c r="AY77" i="3"/>
  <c r="AY206" i="3"/>
  <c r="AY149" i="3"/>
  <c r="AY263" i="3"/>
  <c r="AY392" i="3"/>
  <c r="BJ6" i="3"/>
  <c r="AY197" i="3"/>
  <c r="AY274" i="3"/>
  <c r="AY317" i="3"/>
  <c r="AY457" i="3"/>
  <c r="AY581" i="3"/>
  <c r="AY546" i="3"/>
  <c r="AY514" i="3"/>
  <c r="AY37" i="3"/>
  <c r="AY282" i="3"/>
  <c r="AY196" i="3"/>
  <c r="AY204" i="3"/>
  <c r="AY412" i="3"/>
  <c r="AY355" i="3"/>
  <c r="AY404" i="3"/>
  <c r="BO6" i="3"/>
  <c r="AY53" i="3"/>
  <c r="AY182" i="3"/>
  <c r="AY126" i="3"/>
  <c r="AY239" i="3"/>
  <c r="AY75" i="3"/>
  <c r="AY372" i="3"/>
  <c r="AY533" i="3"/>
  <c r="AY190" i="3"/>
  <c r="AY247" i="3"/>
  <c r="AY109" i="3"/>
  <c r="AY242" i="3"/>
  <c r="AY462" i="3"/>
  <c r="AY495" i="3"/>
  <c r="AY194" i="3"/>
  <c r="AY160" i="3"/>
  <c r="AY497" i="3"/>
  <c r="AY417" i="3"/>
  <c r="AY84" i="3"/>
  <c r="AY134" i="3"/>
  <c r="AY365" i="3"/>
  <c r="AY130" i="3"/>
  <c r="AY308" i="3"/>
  <c r="AY516" i="3"/>
  <c r="AY112" i="3"/>
  <c r="AY218" i="3"/>
  <c r="AY328" i="3"/>
  <c r="AY442" i="3"/>
  <c r="AY499" i="3"/>
  <c r="AY545" i="3"/>
  <c r="AY62" i="3"/>
  <c r="AY161" i="3"/>
  <c r="AY580" i="3"/>
  <c r="AY250" i="3"/>
  <c r="AY450" i="3"/>
  <c r="BR6" i="3"/>
  <c r="AY140" i="3"/>
  <c r="AY216" i="3"/>
  <c r="AY482" i="3"/>
  <c r="AY528" i="3"/>
  <c r="AY22" i="3"/>
  <c r="AY288" i="3"/>
  <c r="AY339" i="3"/>
  <c r="AY413" i="3"/>
  <c r="AY368" i="3"/>
  <c r="AY483" i="3"/>
  <c r="AY81" i="3"/>
  <c r="AY320" i="3"/>
  <c r="AY538" i="3"/>
  <c r="AY46" i="3"/>
  <c r="AY280" i="3"/>
  <c r="AY331" i="3"/>
  <c r="AY405" i="3"/>
  <c r="AY86" i="3"/>
  <c r="AY159" i="3"/>
  <c r="AY213" i="3"/>
  <c r="AY459" i="3"/>
  <c r="AY504" i="3"/>
  <c r="AY237" i="3"/>
  <c r="AY327" i="3"/>
  <c r="BE6" i="3"/>
  <c r="AY185" i="3"/>
  <c r="AY262" i="3"/>
  <c r="AY73" i="3"/>
  <c r="AY388" i="3"/>
  <c r="AY430" i="3"/>
  <c r="BG6" i="3"/>
  <c r="AY158" i="3"/>
  <c r="AY289" i="3"/>
  <c r="AY116" i="3"/>
  <c r="AY557" i="3"/>
  <c r="AY52" i="3"/>
  <c r="AY291" i="3"/>
  <c r="BS6" i="3"/>
  <c r="AY279" i="3"/>
  <c r="AY467" i="3"/>
  <c r="BN6" i="3"/>
  <c r="AY49" i="3"/>
  <c r="AY380" i="3"/>
  <c r="AY312" i="3"/>
  <c r="AY426" i="3"/>
  <c r="AY14" i="3"/>
  <c r="AY548" i="3"/>
  <c r="AY30" i="3"/>
  <c r="AY275" i="3"/>
  <c r="AY536" i="3"/>
  <c r="AY385" i="3"/>
  <c r="AY418" i="3"/>
  <c r="AY531" i="3"/>
  <c r="AY151" i="3"/>
  <c r="AY394" i="3"/>
  <c r="AY451" i="3"/>
  <c r="AY568" i="3"/>
  <c r="AY200" i="3"/>
  <c r="AY257" i="3"/>
  <c r="AY307" i="3"/>
  <c r="AY521" i="3"/>
  <c r="BB6" i="3"/>
  <c r="AY449" i="3"/>
  <c r="AY21" i="3"/>
  <c r="AY479" i="3"/>
  <c r="AY524" i="3"/>
  <c r="AY192" i="3"/>
  <c r="AY249" i="3"/>
  <c r="AY346" i="3"/>
  <c r="AY558" i="3"/>
  <c r="AY55" i="3"/>
  <c r="AY128" i="3"/>
  <c r="AY391" i="3"/>
  <c r="AY448" i="3"/>
  <c r="AY586" i="3"/>
  <c r="AY207" i="3"/>
  <c r="AY42" i="3"/>
  <c r="AY168" i="3"/>
  <c r="AY366" i="3"/>
  <c r="AY441" i="3"/>
  <c r="AY260" i="3"/>
  <c r="AY66" i="3"/>
  <c r="AY115" i="3"/>
  <c r="AY276" i="3"/>
  <c r="AY225" i="3"/>
  <c r="AY470" i="3"/>
  <c r="AY180" i="3"/>
  <c r="AY191" i="3"/>
  <c r="AY147" i="3"/>
  <c r="AY425" i="3"/>
  <c r="AY358" i="3"/>
  <c r="AY433" i="3"/>
  <c r="AY541" i="3"/>
  <c r="AY297" i="3"/>
  <c r="AY409" i="3"/>
  <c r="AY31" i="3"/>
  <c r="AY244" i="3"/>
  <c r="BK6" i="3"/>
  <c r="AY45" i="3"/>
  <c r="AY201" i="3"/>
  <c r="AY118" i="3"/>
  <c r="AY231" i="3"/>
  <c r="AY381" i="3"/>
  <c r="AY104" i="3"/>
  <c r="AY177" i="3"/>
  <c r="AY210" i="3"/>
  <c r="AY332" i="3"/>
  <c r="AY446" i="3"/>
  <c r="BM6" i="3"/>
  <c r="AY510" i="3"/>
  <c r="AY519" i="3"/>
  <c r="AY189" i="3"/>
  <c r="AY266" i="3"/>
  <c r="AY139" i="3"/>
  <c r="AY252" i="3"/>
  <c r="AY43" i="3"/>
  <c r="AY311" i="3"/>
  <c r="AY535" i="3"/>
  <c r="AY555" i="3"/>
  <c r="AY68" i="3"/>
  <c r="AY178" i="3"/>
  <c r="AY117" i="3"/>
  <c r="AY254" i="3"/>
  <c r="AY387" i="3"/>
  <c r="AY310" i="3"/>
  <c r="AY97" i="3"/>
  <c r="AY154" i="3"/>
  <c r="AY230" i="3"/>
  <c r="AY56" i="3"/>
  <c r="AY353" i="3"/>
  <c r="AY398" i="3"/>
  <c r="AY501" i="3"/>
  <c r="AY137" i="3"/>
  <c r="AY183" i="3"/>
  <c r="AY212" i="3"/>
  <c r="AY573" i="3"/>
  <c r="AY20" i="3"/>
  <c r="AY286" i="3"/>
  <c r="BI6" i="3"/>
  <c r="AY243" i="3"/>
  <c r="AY464" i="3"/>
  <c r="AY527" i="3"/>
  <c r="AY32" i="3"/>
  <c r="AY369" i="3"/>
  <c r="AY487" i="3"/>
  <c r="AY410" i="3"/>
  <c r="AY522" i="3"/>
  <c r="BP6" i="3"/>
  <c r="AY19" i="3"/>
  <c r="AY215" i="3"/>
  <c r="AY552" i="3"/>
  <c r="AY352" i="3"/>
  <c r="AY431" i="3"/>
  <c r="BA6" i="3"/>
  <c r="AY120" i="3"/>
  <c r="AY383" i="3"/>
  <c r="AY440" i="3"/>
  <c r="AY576" i="3"/>
  <c r="AY195" i="3"/>
  <c r="AY272" i="3"/>
  <c r="AY322" i="3"/>
  <c r="AY15" i="3"/>
  <c r="AY72" i="3"/>
  <c r="AY406" i="3"/>
  <c r="AY153" i="3"/>
  <c r="AY476" i="3"/>
  <c r="AY565" i="3"/>
  <c r="AY187" i="3"/>
  <c r="AY264" i="3"/>
  <c r="AY314" i="3"/>
  <c r="AY517" i="3"/>
  <c r="AY70" i="3"/>
  <c r="AY119" i="3"/>
  <c r="AY367" i="3"/>
  <c r="AY416" i="3"/>
  <c r="AY498" i="3"/>
  <c r="AY334" i="3"/>
  <c r="AY463" i="3"/>
  <c r="AY92" i="3"/>
  <c r="AY165" i="3"/>
  <c r="AY219" i="3"/>
  <c r="AY202" i="3"/>
  <c r="AY333" i="3"/>
  <c r="AY411" i="3"/>
  <c r="AY494" i="3"/>
  <c r="AY287" i="3"/>
  <c r="AY261" i="3"/>
  <c r="AY379" i="3"/>
  <c r="AY540" i="3"/>
  <c r="AY198" i="3"/>
  <c r="AY255" i="3"/>
  <c r="AY93" i="3"/>
  <c r="AY226" i="3"/>
  <c r="AY454" i="3"/>
  <c r="AY518" i="3"/>
  <c r="AY205" i="3"/>
  <c r="AY364" i="3"/>
  <c r="AY471" i="3"/>
  <c r="AY439" i="3"/>
  <c r="AY575" i="3"/>
  <c r="AY563" i="3"/>
  <c r="AY227" i="3"/>
  <c r="AY341" i="3"/>
  <c r="AY532" i="3"/>
  <c r="AY321" i="3"/>
  <c r="AY399" i="3"/>
  <c r="AY94" i="3"/>
  <c r="AY301" i="3"/>
  <c r="AY359" i="3"/>
  <c r="AY408" i="3"/>
  <c r="AY107" i="3"/>
  <c r="AY164" i="3"/>
  <c r="AY240" i="3"/>
  <c r="AY477" i="3"/>
  <c r="AY566" i="3"/>
  <c r="AY181" i="3"/>
  <c r="AY503" i="3"/>
  <c r="AY267" i="3"/>
  <c r="AY542" i="3"/>
  <c r="AY156" i="3"/>
  <c r="AY232" i="3"/>
  <c r="AY560" i="3"/>
  <c r="AY277" i="3"/>
  <c r="AY335" i="3"/>
  <c r="AY228" i="3"/>
  <c r="AY350" i="3"/>
  <c r="AY465" i="3"/>
  <c r="AY108" i="3"/>
  <c r="AY28" i="3"/>
  <c r="AY138" i="3"/>
  <c r="AY294" i="3"/>
  <c r="AY214" i="3"/>
  <c r="AY554" i="3"/>
  <c r="AY24" i="3"/>
  <c r="AY290" i="3"/>
  <c r="AY349" i="3"/>
  <c r="AY488" i="3"/>
  <c r="AY427" i="3"/>
  <c r="BF6" i="3"/>
  <c r="AY584" i="3"/>
  <c r="AY80" i="3"/>
  <c r="AY129" i="3"/>
  <c r="AY67" i="3"/>
  <c r="AY123" i="3"/>
  <c r="AY489" i="3"/>
  <c r="AY390" i="3"/>
  <c r="AY447" i="3"/>
  <c r="AY574" i="3"/>
  <c r="AY85" i="3"/>
  <c r="AY25" i="3"/>
  <c r="AY157" i="3"/>
  <c r="AY271" i="3"/>
  <c r="AY90" i="3"/>
  <c r="AY269" i="3"/>
  <c r="AY549" i="3"/>
  <c r="AY44" i="3"/>
  <c r="AY283" i="3"/>
  <c r="AY360" i="3"/>
  <c r="AY295" i="3"/>
  <c r="AY475" i="3"/>
  <c r="AY534" i="3"/>
  <c r="AY65" i="3"/>
  <c r="AY103" i="3"/>
  <c r="AY319" i="3"/>
  <c r="AY478" i="3"/>
  <c r="AY100" i="3"/>
  <c r="AY173" i="3"/>
  <c r="AY211" i="3"/>
  <c r="AY186" i="3"/>
  <c r="AY325" i="3"/>
  <c r="AY403" i="3"/>
  <c r="AY556" i="3"/>
  <c r="AY298" i="3"/>
  <c r="AY313" i="3"/>
  <c r="AY453" i="3"/>
  <c r="AY579" i="3"/>
  <c r="AY551" i="3"/>
  <c r="AY79" i="3"/>
  <c r="AY88" i="3"/>
  <c r="AY438" i="3"/>
  <c r="AY174" i="3"/>
  <c r="AY492" i="3"/>
  <c r="AY502" i="3"/>
  <c r="AY203" i="3"/>
  <c r="AY233" i="3"/>
  <c r="AY330" i="3"/>
  <c r="AY13" i="3"/>
  <c r="AY39" i="3"/>
  <c r="AY136" i="3"/>
  <c r="AY375" i="3"/>
  <c r="AY432" i="3"/>
  <c r="AY567" i="3"/>
  <c r="AY370" i="3"/>
  <c r="AY543" i="3"/>
  <c r="AY337" i="3"/>
  <c r="AY415" i="3"/>
  <c r="AY99" i="3"/>
  <c r="AY127" i="3"/>
  <c r="AY376" i="3"/>
  <c r="AY424" i="3"/>
  <c r="AY587" i="3"/>
  <c r="AY179" i="3"/>
  <c r="AY256" i="3"/>
  <c r="AY306" i="3"/>
  <c r="BC6" i="3"/>
  <c r="AY163" i="3"/>
  <c r="AY217" i="3"/>
  <c r="AY544" i="3"/>
  <c r="AY33" i="3"/>
  <c r="AY278" i="3"/>
  <c r="BH6" i="3"/>
  <c r="AY259" i="3"/>
  <c r="AY472" i="3"/>
  <c r="AY571" i="3"/>
  <c r="AY48" i="3"/>
  <c r="AY50" i="3"/>
  <c r="AY455" i="3"/>
  <c r="AY436" i="3"/>
  <c r="AY69" i="3"/>
  <c r="AY141" i="3"/>
  <c r="AY389" i="3"/>
  <c r="AY150" i="3"/>
  <c r="AY340" i="3"/>
  <c r="AY525" i="3"/>
  <c r="AY577" i="3"/>
  <c r="AY235" i="3"/>
  <c r="AY344" i="3"/>
  <c r="AY458" i="3"/>
  <c r="AY506" i="3"/>
  <c r="AY530" i="3"/>
  <c r="AY47" i="3"/>
  <c r="AY29" i="3"/>
  <c r="AY419" i="3"/>
  <c r="AY113" i="3"/>
  <c r="AY461" i="3"/>
  <c r="AY509" i="3"/>
  <c r="AY172" i="3"/>
  <c r="AY248" i="3"/>
  <c r="AY485" i="3"/>
  <c r="AY547" i="3"/>
  <c r="AY54" i="3"/>
  <c r="AY293" i="3"/>
  <c r="AY351" i="3"/>
  <c r="AY400" i="3"/>
  <c r="AY384" i="3"/>
  <c r="AY309" i="3"/>
  <c r="AY496" i="3"/>
  <c r="AY305" i="3"/>
  <c r="AY505" i="3"/>
  <c r="AY63" i="3"/>
  <c r="AY285" i="3"/>
  <c r="AY362" i="3"/>
  <c r="AY437" i="3"/>
  <c r="AY91" i="3"/>
  <c r="AY148" i="3"/>
  <c r="AY224" i="3"/>
  <c r="AY490" i="3"/>
  <c r="AY511" i="3"/>
  <c r="AY445" i="3"/>
  <c r="AY469" i="3"/>
  <c r="AY38" i="3"/>
  <c r="AY354" i="3"/>
  <c r="AY429" i="3"/>
  <c r="D3" i="6"/>
  <c r="C20" i="11" l="1"/>
  <c r="C25" i="11" s="1"/>
  <c r="C24" i="11"/>
  <c r="C8" i="74"/>
  <c r="C7" i="74"/>
  <c r="D17" i="12"/>
  <c r="C17" i="12" s="1"/>
  <c r="K16" i="1"/>
  <c r="C34" i="69"/>
  <c r="M14" i="1"/>
  <c r="M21" i="6"/>
  <c r="I21" i="6" s="1"/>
  <c r="S21" i="6" s="1"/>
  <c r="S8" i="1"/>
  <c r="M22" i="6"/>
  <c r="I22" i="6" s="1"/>
  <c r="S22" i="6" s="1"/>
  <c r="S9" i="1"/>
  <c r="D15" i="6"/>
  <c r="H25" i="6"/>
  <c r="D13" i="6"/>
  <c r="H23" i="6"/>
  <c r="D5" i="6"/>
  <c r="D9" i="6"/>
  <c r="H24" i="6"/>
  <c r="D6" i="6"/>
  <c r="H26" i="6"/>
  <c r="D11" i="6"/>
  <c r="L19" i="9"/>
  <c r="D14" i="6"/>
  <c r="D10" i="6"/>
  <c r="H22" i="6"/>
  <c r="D12" i="6"/>
  <c r="D29" i="6"/>
  <c r="D26" i="6"/>
  <c r="D28" i="6"/>
  <c r="D30" i="6" s="1"/>
  <c r="C18" i="4"/>
  <c r="D20" i="6"/>
  <c r="D24" i="6"/>
  <c r="D22" i="6"/>
  <c r="R22" i="6" s="1"/>
  <c r="R9" i="1" s="1"/>
  <c r="D23" i="6"/>
  <c r="M19" i="9"/>
  <c r="C118" i="9" s="1"/>
  <c r="C14" i="74" s="1"/>
  <c r="B2" i="74" s="1"/>
  <c r="D25" i="6"/>
  <c r="R25" i="6" s="1"/>
  <c r="D8" i="6"/>
  <c r="D21" i="6"/>
  <c r="E61" i="40"/>
  <c r="F61" i="40" s="1"/>
  <c r="B2" i="40" s="1"/>
  <c r="B3" i="40" s="1"/>
  <c r="D19" i="6"/>
  <c r="D20" i="12"/>
  <c r="C20" i="12" s="1"/>
  <c r="C18" i="12" s="1"/>
  <c r="D10" i="11"/>
  <c r="C10" i="11" s="1"/>
  <c r="D10" i="68"/>
  <c r="D10" i="69"/>
  <c r="K27" i="6"/>
  <c r="M19" i="6"/>
  <c r="S6" i="1"/>
  <c r="M20" i="6"/>
  <c r="I20" i="6" s="1"/>
  <c r="S20" i="6" s="1"/>
  <c r="S7" i="1"/>
  <c r="G3" i="88"/>
  <c r="G3" i="43"/>
  <c r="C17" i="15"/>
  <c r="C17" i="83"/>
  <c r="C17" i="82"/>
  <c r="R21" i="6" l="1"/>
  <c r="R8" i="1" s="1"/>
  <c r="R24" i="6"/>
  <c r="R26" i="6"/>
  <c r="H21" i="6"/>
  <c r="C22" i="11"/>
  <c r="T9" i="1"/>
  <c r="AQ9" i="1"/>
  <c r="AR9" i="1"/>
  <c r="E8" i="70"/>
  <c r="AR8" i="1"/>
  <c r="AQ8" i="1"/>
  <c r="T8" i="1"/>
  <c r="O14" i="1"/>
  <c r="O16" i="1" s="1"/>
  <c r="M16" i="1"/>
  <c r="L16" i="1" s="1"/>
  <c r="P14" i="1"/>
  <c r="P16" i="1" s="1"/>
  <c r="C11" i="12" s="1"/>
  <c r="C28" i="11"/>
  <c r="C27" i="11" s="1"/>
  <c r="J22" i="43"/>
  <c r="C23" i="43"/>
  <c r="Z7" i="43"/>
  <c r="AH11" i="43"/>
  <c r="AH13" i="43" s="1"/>
  <c r="AD11" i="43"/>
  <c r="AD13" i="43" s="1"/>
  <c r="Z11" i="43"/>
  <c r="Z13" i="43" s="1"/>
  <c r="AI11" i="43"/>
  <c r="AI13" i="43" s="1"/>
  <c r="AE11" i="43"/>
  <c r="AE13" i="43" s="1"/>
  <c r="AA11" i="43"/>
  <c r="AA13" i="43" s="1"/>
  <c r="AG11" i="43"/>
  <c r="AG13" i="43" s="1"/>
  <c r="AC11" i="43"/>
  <c r="AC13" i="43" s="1"/>
  <c r="Y11" i="43"/>
  <c r="Y13" i="43" s="1"/>
  <c r="H22" i="43"/>
  <c r="N104" i="46"/>
  <c r="F22" i="43"/>
  <c r="G22" i="43"/>
  <c r="AF11" i="43"/>
  <c r="AF13" i="43" s="1"/>
  <c r="AB11" i="43"/>
  <c r="AB13" i="43" s="1"/>
  <c r="J101" i="43"/>
  <c r="G101" i="43"/>
  <c r="E101" i="43"/>
  <c r="M101" i="43"/>
  <c r="N101" i="43"/>
  <c r="K101" i="43"/>
  <c r="H101" i="43"/>
  <c r="C101" i="43"/>
  <c r="I101" i="43"/>
  <c r="D101" i="43"/>
  <c r="F101" i="43"/>
  <c r="AJ11" i="43"/>
  <c r="AJ13" i="43" s="1"/>
  <c r="L101" i="43"/>
  <c r="B113" i="43"/>
  <c r="E22" i="43"/>
  <c r="S4" i="43"/>
  <c r="T4" i="43" s="1"/>
  <c r="V4" i="43" s="1"/>
  <c r="S5" i="43"/>
  <c r="T5" i="43" s="1"/>
  <c r="V5" i="43" s="1"/>
  <c r="S2" i="43"/>
  <c r="T2" i="43" s="1"/>
  <c r="V2" i="43" s="1"/>
  <c r="S3" i="43"/>
  <c r="T3" i="43" s="1"/>
  <c r="V3" i="43" s="1"/>
  <c r="S6" i="43"/>
  <c r="T6" i="43" s="1"/>
  <c r="V6" i="43" s="1"/>
  <c r="S7" i="43"/>
  <c r="T7" i="43" s="1"/>
  <c r="V7" i="43" s="1"/>
  <c r="M27" i="6"/>
  <c r="I19" i="6"/>
  <c r="D19" i="69"/>
  <c r="C10" i="69"/>
  <c r="C8" i="69" s="1"/>
  <c r="C5" i="69" s="1"/>
  <c r="D27" i="6"/>
  <c r="D31" i="6" s="1"/>
  <c r="G22" i="88"/>
  <c r="C23" i="88"/>
  <c r="Z7" i="88"/>
  <c r="AG11" i="88"/>
  <c r="AG13" i="88" s="1"/>
  <c r="AI11" i="88"/>
  <c r="AI13" i="88" s="1"/>
  <c r="AH11" i="88"/>
  <c r="AH13" i="88" s="1"/>
  <c r="Z11" i="88"/>
  <c r="Z13" i="88" s="1"/>
  <c r="Y11" i="88"/>
  <c r="Y13" i="88" s="1"/>
  <c r="H22" i="88"/>
  <c r="J22" i="88"/>
  <c r="F22" i="88"/>
  <c r="AD11" i="88"/>
  <c r="AD13" i="88" s="1"/>
  <c r="AF11" i="88"/>
  <c r="AF13" i="88" s="1"/>
  <c r="AA11" i="88"/>
  <c r="AA13" i="88" s="1"/>
  <c r="AJ11" i="88"/>
  <c r="AJ13" i="88" s="1"/>
  <c r="AE11" i="88"/>
  <c r="AE13" i="88" s="1"/>
  <c r="AC11" i="88"/>
  <c r="AC13" i="88" s="1"/>
  <c r="AB11" i="88"/>
  <c r="AB13" i="88" s="1"/>
  <c r="D101" i="88"/>
  <c r="E101" i="88"/>
  <c r="M101" i="88"/>
  <c r="N101" i="88"/>
  <c r="C101" i="88"/>
  <c r="K101" i="88"/>
  <c r="J101" i="88"/>
  <c r="L101" i="88"/>
  <c r="I101" i="88"/>
  <c r="E22" i="88"/>
  <c r="F101" i="88"/>
  <c r="H101" i="88"/>
  <c r="G101" i="88"/>
  <c r="S7" i="88"/>
  <c r="T7" i="88" s="1"/>
  <c r="V7" i="88" s="1"/>
  <c r="B113" i="88"/>
  <c r="S4" i="88"/>
  <c r="T4" i="88" s="1"/>
  <c r="V4" i="88" s="1"/>
  <c r="S5" i="88"/>
  <c r="T5" i="88" s="1"/>
  <c r="V5" i="88" s="1"/>
  <c r="S6" i="88"/>
  <c r="T6" i="88" s="1"/>
  <c r="V6" i="88" s="1"/>
  <c r="S2" i="88"/>
  <c r="T2" i="88" s="1"/>
  <c r="V2" i="88" s="1"/>
  <c r="S3" i="88"/>
  <c r="T3" i="88" s="1"/>
  <c r="V3" i="88" s="1"/>
  <c r="AR7" i="1"/>
  <c r="E7" i="70"/>
  <c r="AQ7" i="1"/>
  <c r="T7" i="1"/>
  <c r="AR6" i="1"/>
  <c r="AQ6" i="1"/>
  <c r="S16" i="1"/>
  <c r="E6" i="70"/>
  <c r="E2" i="70" s="1"/>
  <c r="T6" i="1"/>
  <c r="C10" i="68"/>
  <c r="D19" i="68"/>
  <c r="D16" i="6"/>
  <c r="D8" i="74"/>
  <c r="D7" i="74"/>
  <c r="R23" i="6"/>
  <c r="A10" i="51"/>
  <c r="B9" i="72" s="1"/>
  <c r="A7" i="51"/>
  <c r="B7" i="72" s="1"/>
  <c r="C4" i="52"/>
  <c r="B45" i="72" s="1"/>
  <c r="H20" i="6"/>
  <c r="R20" i="6" s="1"/>
  <c r="R7" i="1" s="1"/>
  <c r="C35" i="69"/>
  <c r="C38" i="69"/>
  <c r="M21" i="83"/>
  <c r="F35" i="15"/>
  <c r="C14" i="15"/>
  <c r="C14" i="83"/>
  <c r="F35" i="83"/>
  <c r="M21" i="15"/>
  <c r="C14" i="82"/>
  <c r="J20" i="15" l="1"/>
  <c r="F63" i="15"/>
  <c r="C62" i="15" s="1"/>
  <c r="C34" i="15"/>
  <c r="D22" i="43"/>
  <c r="C21" i="43" s="1"/>
  <c r="C29" i="43" s="1"/>
  <c r="E29" i="43" s="1"/>
  <c r="C26" i="43" s="1"/>
  <c r="C31" i="11"/>
  <c r="N16" i="1"/>
  <c r="C34" i="83"/>
  <c r="F63" i="83"/>
  <c r="C62" i="83" s="1"/>
  <c r="J20" i="83"/>
  <c r="C18" i="83"/>
  <c r="C15" i="83"/>
  <c r="C18" i="82"/>
  <c r="C15" i="82"/>
  <c r="C18" i="15"/>
  <c r="C15" i="15"/>
  <c r="C30" i="43"/>
  <c r="E30" i="43" s="1"/>
  <c r="C27" i="43" s="1"/>
  <c r="G109" i="88"/>
  <c r="G103" i="88"/>
  <c r="G105" i="88"/>
  <c r="G104" i="88"/>
  <c r="G102" i="88"/>
  <c r="G107" i="88"/>
  <c r="G106" i="88"/>
  <c r="I109" i="88"/>
  <c r="I102" i="88"/>
  <c r="I106" i="88"/>
  <c r="I107" i="88"/>
  <c r="I105" i="88"/>
  <c r="I103" i="88"/>
  <c r="I104" i="88"/>
  <c r="C106" i="88"/>
  <c r="C103" i="88"/>
  <c r="C105" i="88"/>
  <c r="C102" i="88"/>
  <c r="C109" i="88"/>
  <c r="C107" i="88"/>
  <c r="C104" i="88"/>
  <c r="D102" i="88"/>
  <c r="D106" i="88"/>
  <c r="D103" i="88"/>
  <c r="D104" i="88"/>
  <c r="D107" i="88"/>
  <c r="D105" i="88"/>
  <c r="D109" i="88"/>
  <c r="L105" i="43"/>
  <c r="L103" i="43"/>
  <c r="L109" i="43"/>
  <c r="L102" i="43"/>
  <c r="L106" i="43"/>
  <c r="L104" i="43"/>
  <c r="L107" i="43"/>
  <c r="F106" i="43"/>
  <c r="F103" i="43"/>
  <c r="F107" i="43"/>
  <c r="F102" i="43"/>
  <c r="F109" i="43"/>
  <c r="F104" i="43"/>
  <c r="F105" i="43"/>
  <c r="I109" i="43"/>
  <c r="I104" i="43"/>
  <c r="I103" i="43"/>
  <c r="I102" i="43"/>
  <c r="I107" i="43"/>
  <c r="I105" i="43"/>
  <c r="I106" i="43"/>
  <c r="H106" i="43"/>
  <c r="H103" i="43"/>
  <c r="H107" i="43"/>
  <c r="H102" i="43"/>
  <c r="H105" i="43"/>
  <c r="H109" i="43"/>
  <c r="H104" i="43"/>
  <c r="N103" i="43"/>
  <c r="N106" i="43"/>
  <c r="N105" i="43"/>
  <c r="N109" i="43"/>
  <c r="N107" i="43"/>
  <c r="N102" i="43"/>
  <c r="N104" i="43"/>
  <c r="E104" i="43"/>
  <c r="E107" i="43"/>
  <c r="E109" i="43"/>
  <c r="E102" i="43"/>
  <c r="E105" i="43"/>
  <c r="E103" i="43"/>
  <c r="E106" i="43"/>
  <c r="J104" i="43"/>
  <c r="J106" i="43"/>
  <c r="J102" i="43"/>
  <c r="J109" i="43"/>
  <c r="J103" i="43"/>
  <c r="J105" i="43"/>
  <c r="J107" i="43"/>
  <c r="F11" i="12"/>
  <c r="C14" i="12" s="1"/>
  <c r="F34" i="11"/>
  <c r="F34" i="68"/>
  <c r="B118" i="88"/>
  <c r="C118" i="88" s="1"/>
  <c r="I117" i="88"/>
  <c r="J117" i="88" s="1"/>
  <c r="K117" i="88" s="1"/>
  <c r="L117" i="88" s="1"/>
  <c r="M117" i="88" s="1"/>
  <c r="D117" i="88"/>
  <c r="E117" i="88" s="1"/>
  <c r="F117" i="88" s="1"/>
  <c r="G117" i="88" s="1"/>
  <c r="H117" i="88" s="1"/>
  <c r="I115" i="88"/>
  <c r="J115" i="88" s="1"/>
  <c r="K115" i="88" s="1"/>
  <c r="L115" i="88" s="1"/>
  <c r="M115" i="88" s="1"/>
  <c r="D116" i="88"/>
  <c r="E116" i="88" s="1"/>
  <c r="F116" i="88" s="1"/>
  <c r="G116" i="88" s="1"/>
  <c r="H116" i="88" s="1"/>
  <c r="B116" i="88"/>
  <c r="C116" i="88" s="1"/>
  <c r="B117" i="88"/>
  <c r="C117" i="88" s="1"/>
  <c r="D118" i="88"/>
  <c r="E118" i="88" s="1"/>
  <c r="F118" i="88" s="1"/>
  <c r="D115" i="88"/>
  <c r="E115" i="88" s="1"/>
  <c r="F115" i="88" s="1"/>
  <c r="G115" i="88" s="1"/>
  <c r="H115" i="88" s="1"/>
  <c r="G118" i="88"/>
  <c r="H118" i="88" s="1"/>
  <c r="I118" i="88"/>
  <c r="J118" i="88" s="1"/>
  <c r="K118" i="88" s="1"/>
  <c r="L118" i="88" s="1"/>
  <c r="M118" i="88" s="1"/>
  <c r="I116" i="88"/>
  <c r="J116" i="88" s="1"/>
  <c r="K116" i="88" s="1"/>
  <c r="L116" i="88" s="1"/>
  <c r="M116" i="88" s="1"/>
  <c r="B115" i="88"/>
  <c r="F109" i="88"/>
  <c r="F103" i="88"/>
  <c r="F105" i="88"/>
  <c r="F104" i="88"/>
  <c r="F102" i="88"/>
  <c r="F107" i="88"/>
  <c r="F106" i="88"/>
  <c r="J109" i="88"/>
  <c r="J104" i="88"/>
  <c r="J103" i="88"/>
  <c r="J102" i="88"/>
  <c r="J107" i="88"/>
  <c r="J105" i="88"/>
  <c r="J106" i="88"/>
  <c r="M102" i="88"/>
  <c r="M106" i="88"/>
  <c r="M109" i="88"/>
  <c r="M107" i="88"/>
  <c r="M105" i="88"/>
  <c r="M103" i="88"/>
  <c r="M104" i="88"/>
  <c r="I6" i="6"/>
  <c r="I5" i="6"/>
  <c r="C19" i="69"/>
  <c r="C24" i="69" s="1"/>
  <c r="D37" i="69"/>
  <c r="C37" i="69" s="1"/>
  <c r="C33" i="69" s="1"/>
  <c r="D37" i="68"/>
  <c r="C19" i="68"/>
  <c r="C24" i="68" s="1"/>
  <c r="T16" i="1"/>
  <c r="H105" i="88"/>
  <c r="H107" i="88"/>
  <c r="H102" i="88"/>
  <c r="H103" i="88"/>
  <c r="H106" i="88"/>
  <c r="H104" i="88"/>
  <c r="H109" i="88"/>
  <c r="D22" i="88"/>
  <c r="C21" i="88" s="1"/>
  <c r="C29" i="88" s="1"/>
  <c r="L102" i="88"/>
  <c r="L104" i="88"/>
  <c r="L103" i="88"/>
  <c r="L106" i="88"/>
  <c r="L107" i="88"/>
  <c r="L105" i="88"/>
  <c r="L109" i="88"/>
  <c r="K103" i="88"/>
  <c r="K105" i="88"/>
  <c r="K102" i="88"/>
  <c r="K109" i="88"/>
  <c r="K106" i="88"/>
  <c r="K104" i="88"/>
  <c r="K107" i="88"/>
  <c r="N103" i="88"/>
  <c r="N105" i="88"/>
  <c r="N107" i="88"/>
  <c r="N106" i="88"/>
  <c r="N104" i="88"/>
  <c r="N102" i="88"/>
  <c r="N109" i="88"/>
  <c r="E104" i="88"/>
  <c r="E102" i="88"/>
  <c r="E106" i="88"/>
  <c r="E107" i="88"/>
  <c r="E105" i="88"/>
  <c r="E103" i="88"/>
  <c r="E109" i="88"/>
  <c r="C23" i="69"/>
  <c r="S19" i="6"/>
  <c r="S27" i="6" s="1"/>
  <c r="I27" i="6"/>
  <c r="H19" i="6"/>
  <c r="B115" i="43"/>
  <c r="I118" i="43"/>
  <c r="J118" i="43" s="1"/>
  <c r="K118" i="43" s="1"/>
  <c r="L118" i="43" s="1"/>
  <c r="M118" i="43" s="1"/>
  <c r="D115" i="43"/>
  <c r="E115" i="43" s="1"/>
  <c r="F115" i="43" s="1"/>
  <c r="G115" i="43" s="1"/>
  <c r="H115" i="43" s="1"/>
  <c r="D117" i="43"/>
  <c r="E117" i="43" s="1"/>
  <c r="F117" i="43" s="1"/>
  <c r="G117" i="43" s="1"/>
  <c r="H117" i="43" s="1"/>
  <c r="D116" i="43"/>
  <c r="E116" i="43" s="1"/>
  <c r="F116" i="43" s="1"/>
  <c r="G116" i="43" s="1"/>
  <c r="H116" i="43" s="1"/>
  <c r="I116" i="43"/>
  <c r="J116" i="43" s="1"/>
  <c r="K116" i="43" s="1"/>
  <c r="L116" i="43" s="1"/>
  <c r="M116" i="43" s="1"/>
  <c r="B116" i="43"/>
  <c r="C116" i="43" s="1"/>
  <c r="I115" i="43"/>
  <c r="J115" i="43" s="1"/>
  <c r="K115" i="43" s="1"/>
  <c r="L115" i="43" s="1"/>
  <c r="M115" i="43" s="1"/>
  <c r="G118" i="43"/>
  <c r="H118" i="43" s="1"/>
  <c r="B118" i="43"/>
  <c r="C118" i="43" s="1"/>
  <c r="B117" i="43"/>
  <c r="C117" i="43" s="1"/>
  <c r="D118" i="43"/>
  <c r="E118" i="43" s="1"/>
  <c r="F118" i="43" s="1"/>
  <c r="I117" i="43"/>
  <c r="J117" i="43" s="1"/>
  <c r="K117" i="43" s="1"/>
  <c r="L117" i="43" s="1"/>
  <c r="M117" i="43" s="1"/>
  <c r="D105" i="43"/>
  <c r="D106" i="43"/>
  <c r="D109" i="43"/>
  <c r="D104" i="43"/>
  <c r="D102" i="43"/>
  <c r="D103" i="43"/>
  <c r="D107" i="43"/>
  <c r="C104" i="43"/>
  <c r="C106" i="43"/>
  <c r="C109" i="43"/>
  <c r="C107" i="43"/>
  <c r="C105" i="43"/>
  <c r="C102" i="43"/>
  <c r="C103" i="43"/>
  <c r="K107" i="43"/>
  <c r="K104" i="43"/>
  <c r="K105" i="43"/>
  <c r="K103" i="43"/>
  <c r="K106" i="43"/>
  <c r="K109" i="43"/>
  <c r="K102" i="43"/>
  <c r="M107" i="43"/>
  <c r="M106" i="43"/>
  <c r="M105" i="43"/>
  <c r="M103" i="43"/>
  <c r="M109" i="43"/>
  <c r="M104" i="43"/>
  <c r="M102" i="43"/>
  <c r="G102" i="43"/>
  <c r="G104" i="43"/>
  <c r="G105" i="43"/>
  <c r="G106" i="43"/>
  <c r="G107" i="43"/>
  <c r="G103" i="43"/>
  <c r="G109" i="43"/>
  <c r="C15" i="12"/>
  <c r="C12" i="12"/>
  <c r="C20" i="69" l="1"/>
  <c r="C25" i="69" s="1"/>
  <c r="C22" i="69" s="1"/>
  <c r="C19" i="82"/>
  <c r="C20" i="82" s="1"/>
  <c r="C26" i="82" s="1"/>
  <c r="C19" i="83"/>
  <c r="C20" i="83" s="1"/>
  <c r="C26" i="83" s="1"/>
  <c r="C16" i="12"/>
  <c r="C21" i="12" s="1"/>
  <c r="C19" i="15"/>
  <c r="C22" i="12"/>
  <c r="C20" i="15"/>
  <c r="C26" i="15" s="1"/>
  <c r="H27" i="6"/>
  <c r="R19" i="6"/>
  <c r="D113" i="43"/>
  <c r="C115" i="43"/>
  <c r="C30" i="88"/>
  <c r="E30" i="88" s="1"/>
  <c r="C27" i="88" s="1"/>
  <c r="E29" i="88"/>
  <c r="C26" i="88" s="1"/>
  <c r="B2" i="88" s="1"/>
  <c r="B3" i="88" s="1"/>
  <c r="C37" i="68"/>
  <c r="C115" i="88"/>
  <c r="D113" i="88" s="1"/>
  <c r="C36" i="11"/>
  <c r="C34" i="11"/>
  <c r="C37" i="11"/>
  <c r="B2" i="43"/>
  <c r="B3" i="43" s="1"/>
  <c r="C42" i="69"/>
  <c r="C39" i="69"/>
  <c r="C43" i="69" s="1"/>
  <c r="C36" i="68"/>
  <c r="C34" i="68"/>
  <c r="C28" i="69" l="1"/>
  <c r="C27" i="69" s="1"/>
  <c r="C31" i="69" s="1"/>
  <c r="C6" i="68"/>
  <c r="C23" i="15"/>
  <c r="C29" i="15" s="1"/>
  <c r="C36" i="15" s="1"/>
  <c r="C23" i="82"/>
  <c r="C29" i="82" s="1"/>
  <c r="Q49" i="82" s="1"/>
  <c r="C41" i="69"/>
  <c r="C35" i="68"/>
  <c r="C38" i="68"/>
  <c r="C38" i="11"/>
  <c r="C35" i="11"/>
  <c r="C23" i="83"/>
  <c r="C29" i="83" s="1"/>
  <c r="C46" i="69"/>
  <c r="C45" i="69" s="1"/>
  <c r="C7" i="68"/>
  <c r="C5" i="68" s="1"/>
  <c r="R27" i="6"/>
  <c r="R6" i="1"/>
  <c r="M21" i="82"/>
  <c r="F35" i="82"/>
  <c r="J19" i="15" l="1"/>
  <c r="J17" i="15" s="1"/>
  <c r="C57" i="15"/>
  <c r="C61" i="15" s="1"/>
  <c r="C59" i="15" s="1"/>
  <c r="Q49" i="15"/>
  <c r="C33" i="15"/>
  <c r="C31" i="15" s="1"/>
  <c r="C13" i="15"/>
  <c r="C56" i="15" s="1"/>
  <c r="C65" i="15" s="1"/>
  <c r="J14" i="15"/>
  <c r="J13" i="15" s="1"/>
  <c r="J23" i="15" s="1"/>
  <c r="C49" i="69"/>
  <c r="C51" i="69" s="1"/>
  <c r="C52" i="69" s="1"/>
  <c r="B2" i="69" s="1"/>
  <c r="B3" i="69" s="1"/>
  <c r="C36" i="82"/>
  <c r="C33" i="11"/>
  <c r="C13" i="82"/>
  <c r="Q70" i="82" s="1"/>
  <c r="C33" i="82"/>
  <c r="J14" i="82"/>
  <c r="J22" i="82" s="1"/>
  <c r="C33" i="68"/>
  <c r="C42" i="68" s="1"/>
  <c r="C57" i="82"/>
  <c r="C64" i="82" s="1"/>
  <c r="J19" i="82"/>
  <c r="C34" i="82"/>
  <c r="F63" i="82"/>
  <c r="C62" i="82" s="1"/>
  <c r="J20" i="82"/>
  <c r="C39" i="68"/>
  <c r="C43" i="68" s="1"/>
  <c r="Q49" i="83"/>
  <c r="C36" i="83"/>
  <c r="J14" i="83"/>
  <c r="C57" i="83"/>
  <c r="J19" i="83"/>
  <c r="J17" i="83" s="1"/>
  <c r="C13" i="83"/>
  <c r="C33" i="83"/>
  <c r="C31" i="83" s="1"/>
  <c r="C39" i="11"/>
  <c r="C43" i="11" s="1"/>
  <c r="C42" i="11"/>
  <c r="C46" i="11"/>
  <c r="C45" i="11" s="1"/>
  <c r="C64" i="15"/>
  <c r="R16" i="1"/>
  <c r="C23" i="68"/>
  <c r="C20" i="68"/>
  <c r="C25" i="68" s="1"/>
  <c r="J22" i="15"/>
  <c r="C61" i="82"/>
  <c r="C37" i="15" l="1"/>
  <c r="C30" i="15" s="1"/>
  <c r="C39" i="15" s="1"/>
  <c r="Q69" i="15" s="1"/>
  <c r="C75" i="82"/>
  <c r="C75" i="15"/>
  <c r="C80" i="15" s="1"/>
  <c r="C79" i="15" s="1"/>
  <c r="Q70" i="15"/>
  <c r="C59" i="82"/>
  <c r="C31" i="82"/>
  <c r="J13" i="82"/>
  <c r="J23" i="82" s="1"/>
  <c r="C37" i="82"/>
  <c r="C56" i="82"/>
  <c r="C65" i="82" s="1"/>
  <c r="J17" i="82"/>
  <c r="C41" i="68"/>
  <c r="C22" i="68"/>
  <c r="J16" i="15"/>
  <c r="J25" i="15" s="1"/>
  <c r="C41" i="11"/>
  <c r="C49" i="11" s="1"/>
  <c r="C51" i="11" s="1"/>
  <c r="C52" i="11" s="1"/>
  <c r="B2" i="11" s="1"/>
  <c r="B3" i="11" s="1"/>
  <c r="C46" i="68"/>
  <c r="C45" i="68" s="1"/>
  <c r="C49" i="68" s="1"/>
  <c r="C51" i="68" s="1"/>
  <c r="C30" i="82"/>
  <c r="C39" i="82" s="1"/>
  <c r="Q69" i="82" s="1"/>
  <c r="Q68" i="82" s="1"/>
  <c r="C58" i="15"/>
  <c r="C67" i="15" s="1"/>
  <c r="C68" i="15" s="1"/>
  <c r="J22" i="83"/>
  <c r="J13" i="83"/>
  <c r="J23" i="83" s="1"/>
  <c r="C57" i="69"/>
  <c r="C56" i="69" s="1"/>
  <c r="C28" i="68"/>
  <c r="C27" i="68" s="1"/>
  <c r="Q70" i="83"/>
  <c r="C56" i="83"/>
  <c r="C65" i="83" s="1"/>
  <c r="C37" i="83"/>
  <c r="C30" i="83" s="1"/>
  <c r="C39" i="83" s="1"/>
  <c r="C75" i="83"/>
  <c r="C64" i="83"/>
  <c r="C61" i="83"/>
  <c r="C59" i="83" s="1"/>
  <c r="L51" i="83"/>
  <c r="L51" i="15"/>
  <c r="C40" i="15" l="1"/>
  <c r="Q65" i="15" s="1"/>
  <c r="Q75" i="15" s="1"/>
  <c r="Q67" i="15"/>
  <c r="Q68" i="15"/>
  <c r="C58" i="82"/>
  <c r="C67" i="82" s="1"/>
  <c r="C68" i="82" s="1"/>
  <c r="C71" i="82" s="1"/>
  <c r="C31" i="68"/>
  <c r="J16" i="82"/>
  <c r="J25" i="82" s="1"/>
  <c r="C58" i="83"/>
  <c r="C67" i="83" s="1"/>
  <c r="C68" i="83" s="1"/>
  <c r="C71" i="83" s="1"/>
  <c r="C80" i="82"/>
  <c r="C79" i="82" s="1"/>
  <c r="C52" i="68"/>
  <c r="B2" i="68" s="1"/>
  <c r="J16" i="83"/>
  <c r="J25" i="83" s="1"/>
  <c r="C40" i="82"/>
  <c r="C43" i="82" s="1"/>
  <c r="Q67" i="83"/>
  <c r="Q69" i="83"/>
  <c r="Q68" i="83" s="1"/>
  <c r="C40" i="83"/>
  <c r="C80" i="83"/>
  <c r="C79" i="83" s="1"/>
  <c r="C56" i="11"/>
  <c r="C57" i="11" s="1"/>
  <c r="C71" i="15"/>
  <c r="C19" i="9"/>
  <c r="L51" i="82"/>
  <c r="C46" i="83" l="1"/>
  <c r="Q67" i="82"/>
  <c r="C43" i="15"/>
  <c r="C46" i="15"/>
  <c r="C83" i="15"/>
  <c r="C82" i="15" s="1"/>
  <c r="Q56" i="15"/>
  <c r="Q62" i="15" s="1"/>
  <c r="B2" i="15"/>
  <c r="E8" i="12" s="1"/>
  <c r="Q47" i="15"/>
  <c r="Q53" i="15" s="1"/>
  <c r="Q47" i="82"/>
  <c r="Q53" i="82" s="1"/>
  <c r="C46" i="82"/>
  <c r="B2" i="82"/>
  <c r="C8" i="12" s="1"/>
  <c r="Q56" i="82"/>
  <c r="Q62" i="82" s="1"/>
  <c r="C57" i="68"/>
  <c r="C56" i="68" s="1"/>
  <c r="C83" i="82"/>
  <c r="C82" i="82" s="1"/>
  <c r="Q65" i="82"/>
  <c r="Q75" i="82" s="1"/>
  <c r="C21" i="9"/>
  <c r="C102" i="9"/>
  <c r="B3" i="68"/>
  <c r="Q56" i="83"/>
  <c r="Q62" i="83" s="1"/>
  <c r="Q65" i="83"/>
  <c r="Q75" i="83" s="1"/>
  <c r="Q47" i="83"/>
  <c r="Q53" i="83" s="1"/>
  <c r="C43" i="83"/>
  <c r="B2" i="83"/>
  <c r="C83" i="83"/>
  <c r="C82" i="83" s="1"/>
  <c r="AO7" i="1"/>
  <c r="AO8" i="1"/>
  <c r="AO6" i="1"/>
  <c r="C20" i="9"/>
  <c r="B3" i="15" l="1"/>
  <c r="E6" i="12" s="1"/>
  <c r="B8" i="70"/>
  <c r="B6" i="70"/>
  <c r="B3" i="82"/>
  <c r="C6" i="12" s="1"/>
  <c r="C4" i="12"/>
  <c r="C23" i="12" s="1"/>
  <c r="B7" i="70"/>
  <c r="C103" i="9"/>
  <c r="B3" i="83"/>
  <c r="B2" i="70" l="1"/>
  <c r="B3" i="70" s="1"/>
  <c r="C31" i="12"/>
  <c r="C30" i="12"/>
  <c r="C28" i="12" s="1"/>
  <c r="C27" i="12"/>
  <c r="C25" i="12" s="1"/>
  <c r="C32" i="12" l="1"/>
  <c r="B2" i="12" s="1"/>
  <c r="D19" i="9"/>
  <c r="D102" i="9" l="1"/>
  <c r="D21" i="9"/>
  <c r="D22" i="9"/>
  <c r="G19" i="9"/>
  <c r="B3" i="12"/>
  <c r="D20" i="9"/>
  <c r="D103" i="9" l="1"/>
  <c r="G20" i="9"/>
  <c r="G21" i="9"/>
  <c r="C32" i="9"/>
  <c r="C35" i="9" l="1"/>
  <c r="F118" i="9" s="1"/>
  <c r="H118" i="9"/>
  <c r="C34" i="9" l="1"/>
  <c r="D118" i="9" s="1"/>
  <c r="D119" i="9" s="1"/>
  <c r="D5" i="52" s="1"/>
  <c r="B49" i="72" s="1"/>
  <c r="F4" i="52"/>
  <c r="B51" i="72" s="1"/>
  <c r="G118" i="9"/>
  <c r="G4" i="52" s="1"/>
  <c r="B52" i="72" s="1"/>
  <c r="F119" i="9"/>
  <c r="F5" i="52" s="1"/>
  <c r="B53" i="72" s="1"/>
  <c r="H4" i="52"/>
  <c r="H119" i="9"/>
  <c r="H5" i="52" s="1"/>
  <c r="C104" i="9"/>
  <c r="D14" i="74"/>
  <c r="I118" i="9"/>
  <c r="H101" i="9"/>
  <c r="D4" i="52" l="1"/>
  <c r="B47" i="72" s="1"/>
  <c r="M48" i="9"/>
  <c r="D5" i="53"/>
  <c r="H107" i="9"/>
  <c r="D45" i="9"/>
  <c r="F14" i="74"/>
  <c r="B5" i="74"/>
  <c r="E14" i="74"/>
  <c r="I4" i="52"/>
  <c r="H102" i="9"/>
  <c r="D7" i="53" s="1"/>
  <c r="B21" i="72" s="1"/>
  <c r="E118" i="9"/>
  <c r="E4" i="52" s="1"/>
  <c r="B48" i="72" s="1"/>
  <c r="C105" i="9"/>
  <c r="D5" i="74" l="1"/>
  <c r="C5" i="74"/>
  <c r="D52" i="9"/>
  <c r="C93" i="9"/>
  <c r="C86" i="9" s="1"/>
  <c r="C78" i="9"/>
  <c r="C73" i="9" s="1"/>
  <c r="C64" i="9"/>
  <c r="C63" i="9" s="1"/>
  <c r="C67" i="9" s="1"/>
  <c r="C68" i="9" s="1"/>
  <c r="D54" i="9" s="1"/>
  <c r="D53" i="9"/>
  <c r="C72" i="9"/>
  <c r="C85" i="9"/>
  <c r="D55" i="9"/>
  <c r="M53" i="9" s="1"/>
  <c r="B20" i="72"/>
  <c r="D6" i="53"/>
  <c r="B22" i="72" s="1"/>
  <c r="D13" i="53"/>
  <c r="H108" i="9"/>
  <c r="D15" i="53" s="1"/>
  <c r="B31" i="72" s="1"/>
  <c r="D122" i="9"/>
  <c r="M49" i="9"/>
  <c r="C95" i="9" l="1"/>
  <c r="C96" i="9" s="1"/>
  <c r="E96" i="9" s="1"/>
  <c r="E97" i="9" s="1"/>
  <c r="C79" i="9"/>
  <c r="C80" i="9" s="1"/>
  <c r="E80" i="9" s="1"/>
  <c r="E81" i="9" s="1"/>
  <c r="L68" i="9"/>
  <c r="M68" i="9" s="1"/>
  <c r="L65" i="9"/>
  <c r="M65" i="9" s="1"/>
  <c r="L64" i="9"/>
  <c r="M64" i="9" s="1"/>
  <c r="L66" i="9"/>
  <c r="M66" i="9" s="1"/>
  <c r="L67" i="9"/>
  <c r="M67" i="9" s="1"/>
  <c r="L63" i="9"/>
  <c r="M63" i="9" s="1"/>
  <c r="D123" i="9"/>
  <c r="D9" i="52" s="1"/>
  <c r="G14" i="74"/>
  <c r="B6" i="74" s="1"/>
  <c r="D8" i="52"/>
  <c r="B30" i="72"/>
  <c r="D14" i="53"/>
  <c r="B32" i="72" s="1"/>
  <c r="C97" i="9" l="1"/>
  <c r="D58" i="9" s="1"/>
  <c r="D56" i="9" s="1"/>
  <c r="M54" i="9" s="1"/>
  <c r="N57" i="9" s="1"/>
  <c r="N58" i="9" s="1"/>
  <c r="D6" i="74"/>
  <c r="C6" i="74"/>
  <c r="C81" i="9"/>
  <c r="M69" i="9"/>
  <c r="N69"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<sst xmlns="http://schemas.openxmlformats.org/spreadsheetml/2006/main" count="11457" uniqueCount="3952">
  <si>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</si>
  <si>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</si>
  <si>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</si>
  <si>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</si>
  <si>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</si>
  <si>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</si>
  <si>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</si>
  <si>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</si>
  <si>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</si>
  <si>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</si>
  <si>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</si>
  <si>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</si>
  <si>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</si>
  <si>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</si>
  <si>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</si>
  <si>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</si>
  <si>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</si>
  <si>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</si>
  <si>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</si>
  <si>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</si>
  <si>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</si>
  <si>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</si>
  <si>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</si>
  <si>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</si>
  <si>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</si>
  <si>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</si>
  <si>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</si>
  <si>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</si>
  <si>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</si>
  <si>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</si>
  <si>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</si>
  <si>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</si>
  <si>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</si>
  <si>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</si>
  <si>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</si>
  <si>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</si>
  <si>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</si>
  <si>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</si>
  <si>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</si>
  <si>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</si>
  <si>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</si>
  <si>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</si>
  <si>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</si>
  <si>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</si>
  <si>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</si>
  <si>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</si>
  <si>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</si>
  <si>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</si>
  <si>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</si>
  <si>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</si>
  <si>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</si>
  <si>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</si>
  <si>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</si>
  <si>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</si>
  <si>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</si>
  <si>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</si>
  <si>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</si>
  <si>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</si>
  <si>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</si>
  <si>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</si>
  <si>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</si>
  <si>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</si>
  <si>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</si>
  <si>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</si>
  <si>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</si>
  <si>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</si>
  <si>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</si>
  <si>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</si>
  <si>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</si>
  <si>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</si>
  <si>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</si>
  <si>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</si>
  <si>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</si>
  <si>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</si>
  <si>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</si>
  <si>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</si>
  <si>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</si>
  <si>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</si>
  <si>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</si>
  <si>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</si>
  <si>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</si>
  <si>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</si>
  <si>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</si>
  <si>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</si>
  <si>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</si>
  <si>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</si>
  <si>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</si>
  <si>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</si>
  <si>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</si>
  <si>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</si>
  <si>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</si>
  <si>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</si>
  <si>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</si>
  <si>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</si>
  <si>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</si>
  <si>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</si>
  <si>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</si>
  <si>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</si>
  <si>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</si>
  <si>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</si>
  <si>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</si>
  <si>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</si>
  <si>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</si>
  <si>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</si>
  <si>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</si>
  <si>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</si>
  <si>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</si>
  <si>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</si>
  <si>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</si>
  <si>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</si>
  <si>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</si>
  <si>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</si>
  <si>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</si>
  <si>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</si>
  <si>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</si>
  <si>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</si>
  <si>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</si>
  <si>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</si>
  <si>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</si>
  <si>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</si>
  <si>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</si>
  <si>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</si>
  <si>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</si>
  <si>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</si>
  <si>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</si>
  <si>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</si>
  <si>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</si>
  <si>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</si>
  <si>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</si>
  <si>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</si>
  <si>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</si>
  <si>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</si>
  <si>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</si>
  <si>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</si>
  <si>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</si>
  <si>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</si>
  <si>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</si>
  <si>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</si>
  <si>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</si>
  <si>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</si>
  <si>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</si>
  <si>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</si>
  <si>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</si>
  <si>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</si>
  <si>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</si>
  <si>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</si>
  <si>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</si>
  <si>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</si>
  <si>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</si>
  <si>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</si>
  <si>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</si>
  <si>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</si>
  <si>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</si>
  <si>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</si>
  <si>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</si>
  <si>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</si>
  <si>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</si>
  <si>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</si>
  <si>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</si>
  <si>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</si>
  <si>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</si>
  <si>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</si>
  <si>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</si>
  <si>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</si>
  <si>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</si>
  <si>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</si>
  <si>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</si>
  <si>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</si>
  <si>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</si>
  <si>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</si>
  <si>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</si>
  <si>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</si>
  <si>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</si>
  <si>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</si>
  <si>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</si>
  <si>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</si>
  <si>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</si>
  <si>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</si>
  <si>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</si>
  <si>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</si>
  <si>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</si>
  <si>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</si>
  <si>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</si>
  <si>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</si>
  <si>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</si>
  <si>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</si>
  <si>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</si>
  <si>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</si>
  <si>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</si>
  <si>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</si>
  <si>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</si>
  <si>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</si>
  <si>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</si>
  <si>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</si>
  <si>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</si>
  <si>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</si>
  <si>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</si>
  <si>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</si>
  <si>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</si>
  <si>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</si>
  <si>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</si>
  <si>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</si>
  <si>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</si>
  <si>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</si>
  <si>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</si>
  <si>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</si>
  <si>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</si>
  <si>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</si>
  <si>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</si>
  <si>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</si>
  <si>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</si>
  <si>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</si>
  <si>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</si>
  <si>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</si>
  <si>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</si>
  <si>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</si>
  <si>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</si>
  <si>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</si>
  <si>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</si>
  <si>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</si>
  <si>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</si>
  <si>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</si>
  <si>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</si>
  <si>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</si>
  <si>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</si>
  <si>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</si>
  <si>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</si>
  <si>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</si>
  <si>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</si>
  <si>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</si>
  <si>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</si>
  <si>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</si>
  <si>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</si>
  <si>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</si>
  <si>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</si>
  <si>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</si>
  <si>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</si>
  <si>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</si>
  <si>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</si>
  <si>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</si>
  <si>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</si>
  <si>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</si>
  <si>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</si>
  <si>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</si>
  <si>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</si>
  <si>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</si>
  <si>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</si>
  <si>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</si>
  <si>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</si>
  <si>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</si>
  <si>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</si>
  <si>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</si>
  <si>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</si>
  <si>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</si>
  <si>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</si>
  <si>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</si>
  <si>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</si>
  <si>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</si>
  <si>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</si>
  <si>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</si>
  <si>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</si>
  <si>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</si>
  <si>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</si>
  <si>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</si>
  <si>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</si>
  <si>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</si>
  <si>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</si>
  <si>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</si>
  <si>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</si>
  <si>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</si>
  <si>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</si>
  <si>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</si>
  <si>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</si>
  <si>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</si>
  <si>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</si>
  <si>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</si>
  <si>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</si>
  <si>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</si>
  <si>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</si>
  <si>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</si>
  <si>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</si>
  <si>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</si>
  <si>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</si>
  <si>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</si>
  <si>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</si>
  <si>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</si>
  <si>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</si>
  <si>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</si>
  <si>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</si>
  <si>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</si>
  <si>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</si>
  <si>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</si>
  <si>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</si>
  <si>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</si>
  <si>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</si>
  <si>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</si>
  <si>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</si>
  <si>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</si>
  <si>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</si>
  <si>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</si>
  <si>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</si>
  <si>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</si>
  <si>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</si>
  <si>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</si>
  <si>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</si>
  <si>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</si>
  <si>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</si>
  <si>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</si>
  <si>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</si>
  <si>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</si>
  <si>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</si>
  <si>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</si>
  <si>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</si>
  <si>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</si>
  <si>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</si>
  <si>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</si>
  <si>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</si>
  <si>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</si>
  <si>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</si>
  <si>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</si>
  <si>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</si>
  <si>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</si>
  <si>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</si>
  <si>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</si>
  <si>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</si>
  <si>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</si>
  <si>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</si>
  <si>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</si>
  <si>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</si>
  <si>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</si>
  <si>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</si>
  <si>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</si>
  <si>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</si>
  <si>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</si>
  <si>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</si>
  <si>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</si>
  <si>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</si>
  <si>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</si>
  <si>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</si>
  <si>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</si>
  <si>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</si>
  <si>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</si>
  <si>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</si>
  <si>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</si>
  <si>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</si>
  <si>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</si>
  <si>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</si>
  <si>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</si>
  <si>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</si>
  <si>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</si>
  <si>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</si>
  <si>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</si>
  <si>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</si>
  <si>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</si>
  <si>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</si>
  <si>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</si>
  <si>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</si>
  <si>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</si>
  <si>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</si>
  <si>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</si>
  <si>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</si>
  <si>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</si>
  <si>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</si>
  <si>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</si>
  <si>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</si>
  <si>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</si>
  <si>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</si>
  <si>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</si>
  <si>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</si>
  <si>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</si>
  <si>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</si>
  <si>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</si>
  <si>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</si>
  <si>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</si>
  <si>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</si>
  <si>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</si>
  <si>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</si>
  <si>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</si>
  <si>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</si>
  <si>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</si>
  <si>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</si>
  <si>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</si>
  <si>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</si>
  <si>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</si>
  <si>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</si>
  <si>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</si>
  <si>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</si>
  <si>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</si>
  <si>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</si>
  <si>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</si>
  <si>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</si>
  <si>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</si>
  <si>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</si>
  <si>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</si>
  <si>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</si>
  <si>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</si>
  <si>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</si>
  <si>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</si>
  <si>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</si>
  <si>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</si>
  <si>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</si>
  <si>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</si>
  <si>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</si>
  <si>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</si>
  <si>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</si>
  <si>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</si>
  <si>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</si>
  <si>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</si>
  <si>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</si>
  <si>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</si>
  <si>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</si>
  <si>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</si>
  <si>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</si>
  <si>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</si>
  <si>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</si>
  <si>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</si>
  <si>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</si>
  <si>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</si>
  <si>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</si>
  <si>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</si>
  <si>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</si>
  <si>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</si>
  <si>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</si>
  <si>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</si>
  <si>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</si>
  <si>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</si>
  <si>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</si>
  <si>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</si>
  <si>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</si>
  <si>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</si>
  <si>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</si>
  <si>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</si>
  <si>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</si>
  <si>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</si>
  <si>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</si>
  <si>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</si>
  <si>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</si>
  <si>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</si>
  <si>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</si>
  <si>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</si>
  <si>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</si>
  <si>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</si>
  <si>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</si>
  <si>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</si>
  <si>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</si>
  <si>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</si>
  <si>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</si>
  <si>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</si>
  <si>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</si>
  <si>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</si>
  <si>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</si>
  <si>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</si>
  <si>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</si>
  <si>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</si>
  <si>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</si>
  <si>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</si>
  <si>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</si>
  <si>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</si>
  <si>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</si>
  <si>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</si>
  <si>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</si>
  <si>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</si>
  <si>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</si>
  <si>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</si>
  <si>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</si>
  <si>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</si>
  <si>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</si>
  <si>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</si>
  <si>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</si>
  <si>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</si>
  <si>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</si>
  <si>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</si>
  <si>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</si>
  <si>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</si>
  <si>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</si>
  <si>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</si>
  <si>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</si>
  <si>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</si>
  <si>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</si>
  <si>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</si>
  <si>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</si>
  <si>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</si>
  <si>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</si>
  <si>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</si>
  <si>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</si>
  <si>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</si>
  <si>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</si>
  <si>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</si>
  <si>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</si>
  <si>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</si>
  <si>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</si>
  <si>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</si>
  <si>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</si>
  <si>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</si>
  <si>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</si>
  <si>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</si>
  <si>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</si>
  <si>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</si>
  <si>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</si>
  <si>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</si>
  <si>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</si>
  <si>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</si>
  <si>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</si>
  <si>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</si>
  <si>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</si>
  <si>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</si>
  <si>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</si>
  <si>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</si>
  <si>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</si>
  <si>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</si>
  <si>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</si>
  <si>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</si>
  <si>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</si>
  <si>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</si>
  <si>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</si>
  <si>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</si>
  <si>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</si>
  <si>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</si>
  <si>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</si>
  <si>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</si>
  <si>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</si>
  <si>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</si>
  <si>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</si>
  <si>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</si>
  <si>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</si>
  <si>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</si>
  <si>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</si>
  <si>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</si>
  <si>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</si>
  <si>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</si>
  <si>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</si>
  <si>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</si>
  <si>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</si>
  <si>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</si>
  <si>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</si>
  <si>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</si>
  <si>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</si>
  <si>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</si>
  <si>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</si>
  <si>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</si>
  <si>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</si>
  <si>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</si>
  <si>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</si>
  <si>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</si>
  <si>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</si>
  <si>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</si>
  <si>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</si>
  <si>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</si>
  <si>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</si>
  <si>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</si>
  <si>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</si>
  <si>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</si>
  <si>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</si>
  <si>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</si>
  <si>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</si>
  <si>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</si>
  <si>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</si>
  <si>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</si>
  <si>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</si>
  <si>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</si>
  <si>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</si>
  <si>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</si>
  <si>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</si>
  <si>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</si>
  <si>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</si>
  <si>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</si>
  <si>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</si>
  <si>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</si>
  <si>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</si>
  <si>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</si>
  <si>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</si>
  <si>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</si>
  <si>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</si>
  <si>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</si>
  <si>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</si>
  <si>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</si>
  <si>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</si>
  <si>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</si>
  <si>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</si>
  <si>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</si>
  <si>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</si>
  <si>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</si>
  <si>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</si>
  <si>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</si>
  <si>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</si>
  <si>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</si>
  <si>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</si>
  <si>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</si>
  <si>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</si>
  <si>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</si>
  <si>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</si>
  <si>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</si>
  <si>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</si>
  <si>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</si>
  <si>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</si>
  <si>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</si>
  <si>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</si>
  <si>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</si>
  <si>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</si>
  <si>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</si>
  <si>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</si>
  <si>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</si>
  <si>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</si>
  <si>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</si>
  <si>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</si>
  <si>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</si>
  <si>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</si>
  <si>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</si>
  <si>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</si>
  <si>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</si>
  <si>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</si>
  <si>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</si>
  <si>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</si>
  <si>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</si>
  <si>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</si>
  <si>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</si>
  <si>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</si>
  <si>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</si>
  <si>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</si>
  <si>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</si>
  <si>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</si>
  <si>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</si>
  <si>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</si>
  <si>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</si>
  <si>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</si>
  <si>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</si>
  <si>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</si>
  <si>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</si>
  <si>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</si>
  <si>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</si>
  <si>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</si>
  <si>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</si>
  <si>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</si>
  <si>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</si>
  <si>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</si>
  <si>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</si>
  <si>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</si>
  <si>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</si>
  <si>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</si>
  <si>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</si>
  <si>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</si>
  <si>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</si>
  <si>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</si>
  <si>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</si>
  <si>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</si>
  <si>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</si>
  <si>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</si>
  <si>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</si>
  <si>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</si>
  <si>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</si>
  <si>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</si>
  <si>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</si>
  <si>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</si>
  <si>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</si>
  <si>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</si>
  <si>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</si>
  <si>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</si>
  <si>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</si>
  <si>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</si>
  <si>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</si>
  <si>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</si>
  <si>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</si>
  <si>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</si>
  <si>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</si>
  <si>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</si>
  <si>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</si>
  <si>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</si>
  <si>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</si>
  <si>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</si>
  <si>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</si>
  <si>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</si>
  <si>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</si>
  <si>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</si>
  <si>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</si>
  <si>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</si>
  <si>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</si>
  <si>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</si>
  <si>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</si>
  <si>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</si>
  <si>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</si>
  <si>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</si>
  <si>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</si>
  <si>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</si>
  <si>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</si>
  <si>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</si>
  <si>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</si>
  <si>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</si>
  <si>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</si>
  <si>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</si>
  <si>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</si>
  <si>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</si>
  <si>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</si>
  <si>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</si>
  <si>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</si>
  <si>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</si>
  <si>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</si>
  <si>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</si>
  <si>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</si>
  <si>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</si>
  <si>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</si>
  <si>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</si>
  <si>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</si>
  <si>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</si>
  <si>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</si>
  <si>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</si>
  <si>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</si>
  <si>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</si>
  <si>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</si>
  <si>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</si>
  <si>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</si>
  <si>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</si>
  <si>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</si>
  <si>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</si>
  <si>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</si>
  <si>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</si>
  <si>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</si>
  <si>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</si>
  <si>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</si>
  <si>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</si>
  <si>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</si>
  <si>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</si>
  <si>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</si>
  <si>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</si>
  <si>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</si>
  <si>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</si>
  <si>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</si>
  <si>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</si>
  <si>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</si>
  <si>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</si>
  <si>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</si>
  <si>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</si>
  <si>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</si>
  <si>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</si>
  <si>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</si>
  <si>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</si>
  <si>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</si>
  <si>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</si>
  <si>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</si>
  <si>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</si>
  <si>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</si>
  <si>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</si>
  <si>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</si>
  <si>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</si>
  <si>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</si>
  <si>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</si>
  <si>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</si>
  <si>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</si>
  <si>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</si>
  <si>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</si>
  <si>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</si>
  <si>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</si>
  <si>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</si>
  <si>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</si>
  <si>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</si>
  <si>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</si>
  <si>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</si>
  <si>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</si>
  <si>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</si>
  <si>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</si>
  <si>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</si>
  <si>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</si>
  <si>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</si>
  <si>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</si>
  <si>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</si>
  <si>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</si>
  <si>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</si>
  <si>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</si>
  <si>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</si>
  <si>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</si>
  <si>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</si>
  <si>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</si>
  <si>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</si>
  <si>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</si>
  <si>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</si>
  <si>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</si>
  <si>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</si>
  <si>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</si>
  <si>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</si>
  <si>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</si>
  <si>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</si>
  <si>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</si>
  <si>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</si>
  <si>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</si>
  <si>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</si>
  <si>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</si>
  <si>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</si>
  <si>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</si>
  <si>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</si>
  <si>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</si>
  <si>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</si>
  <si>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</si>
  <si>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</si>
  <si>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</si>
  <si>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</si>
  <si>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</si>
  <si>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</si>
  <si>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</si>
  <si>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</si>
  <si>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</si>
  <si>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</si>
  <si>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</si>
  <si>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</si>
  <si>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</si>
  <si>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</si>
  <si>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</si>
  <si>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</si>
  <si>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</si>
  <si>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</si>
  <si>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</si>
  <si>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</si>
  <si>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</si>
  <si>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</si>
  <si>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</si>
  <si>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</si>
  <si>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</si>
  <si>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</si>
  <si>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</si>
  <si>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</si>
  <si>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</si>
  <si>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</si>
  <si>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</si>
  <si>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</si>
  <si>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</si>
  <si>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</si>
  <si>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</si>
  <si>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</si>
  <si>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</si>
  <si>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</si>
  <si>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</si>
  <si>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</si>
  <si>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</si>
  <si>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</si>
  <si>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</si>
  <si>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</si>
  <si>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</si>
  <si>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</si>
  <si>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</si>
  <si>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</si>
  <si>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</si>
  <si>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</si>
  <si>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</si>
  <si>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</si>
  <si>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</si>
  <si>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</si>
  <si>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</si>
  <si>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</si>
  <si>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</si>
  <si>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</si>
  <si>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</si>
  <si>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</si>
  <si>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</si>
  <si>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</si>
  <si>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</si>
  <si>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</si>
  <si>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</si>
  <si>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</si>
  <si>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</si>
  <si>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</si>
  <si>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</si>
  <si>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</si>
  <si>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</si>
  <si>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</si>
  <si>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</si>
  <si>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</si>
  <si>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</si>
  <si>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</si>
  <si>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</si>
  <si>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</si>
  <si>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</si>
  <si>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</si>
  <si>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</si>
  <si>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</si>
  <si>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</si>
  <si>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</si>
  <si>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</si>
  <si>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</si>
  <si>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</si>
  <si>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</si>
  <si>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</si>
  <si>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</si>
  <si>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</si>
  <si>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</si>
  <si>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</si>
  <si>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</si>
  <si>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</si>
  <si>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</si>
  <si>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</si>
  <si>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</si>
  <si>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</si>
  <si>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</si>
  <si>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</si>
  <si>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</si>
  <si>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</si>
  <si>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</si>
  <si>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</si>
  <si>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</si>
  <si>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</si>
  <si>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</si>
  <si>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</si>
  <si>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</si>
  <si>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</si>
  <si>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</si>
  <si>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</si>
  <si>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</si>
  <si>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</si>
  <si>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</si>
  <si>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</si>
  <si>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</si>
  <si>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</si>
  <si>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</si>
  <si>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</si>
  <si>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</si>
  <si>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</si>
  <si>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</si>
  <si>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</si>
  <si>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</si>
  <si>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</si>
  <si>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</si>
  <si>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</si>
  <si>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</si>
  <si>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</si>
  <si>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</si>
  <si>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</si>
  <si>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</si>
  <si>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</si>
  <si>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</si>
  <si>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</si>
  <si>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</si>
  <si>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</si>
  <si>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</si>
  <si>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</si>
  <si>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</si>
  <si>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</si>
  <si>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</si>
  <si>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</si>
  <si>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</si>
  <si>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</si>
  <si>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</si>
  <si>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</si>
  <si>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</si>
  <si>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</si>
  <si>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</si>
  <si>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</si>
  <si>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</si>
  <si>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</si>
  <si>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</si>
  <si>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</si>
  <si>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</si>
  <si>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</si>
  <si>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</si>
  <si>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</si>
  <si>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</si>
  <si>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</si>
  <si>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</si>
  <si>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</si>
  <si>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</si>
  <si>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</si>
  <si>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</si>
  <si>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</si>
  <si>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</si>
  <si>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</si>
  <si>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</si>
  <si>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</si>
  <si>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</si>
  <si>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</si>
  <si>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</si>
  <si>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</si>
  <si>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</si>
  <si>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</si>
  <si>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</si>
  <si>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</si>
  <si>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</si>
  <si>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</si>
  <si>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</si>
  <si>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</si>
  <si>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</si>
  <si>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</si>
  <si>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</si>
  <si>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</si>
  <si>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</si>
  <si>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</si>
  <si>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</si>
  <si>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</si>
  <si>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</si>
  <si>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</si>
  <si>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</si>
  <si>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</si>
  <si>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</si>
  <si>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</si>
  <si>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</si>
  <si>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</si>
  <si>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</si>
  <si>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</si>
  <si>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</si>
  <si>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</si>
  <si>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</si>
  <si>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</si>
  <si>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</si>
  <si>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</si>
  <si>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</si>
  <si>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</si>
  <si>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</si>
  <si>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</si>
  <si>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</si>
  <si>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</si>
  <si>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</si>
  <si>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</si>
  <si>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</si>
  <si>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</si>
  <si>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</si>
  <si>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</si>
  <si>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</si>
  <si>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</si>
  <si>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</si>
  <si>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</si>
  <si>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</si>
  <si>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</si>
  <si>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</si>
  <si>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</si>
  <si>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</si>
  <si>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</si>
  <si>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</si>
  <si>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</si>
  <si>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</si>
  <si>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</si>
  <si>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</si>
  <si>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</si>
  <si>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</si>
  <si>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</si>
  <si>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</si>
  <si>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</si>
  <si>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</si>
  <si>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</si>
  <si>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</si>
  <si>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</si>
  <si>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</si>
  <si>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</si>
  <si>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</si>
  <si>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</si>
  <si>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</si>
  <si>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</si>
  <si>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</si>
  <si>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</si>
  <si>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</si>
  <si>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</si>
  <si>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</si>
  <si>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</si>
  <si>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</si>
  <si>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</si>
  <si>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</si>
  <si>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</si>
  <si>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</si>
  <si>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</si>
  <si>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</si>
  <si>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</si>
  <si>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</si>
  <si>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</si>
  <si>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</si>
  <si>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</si>
  <si>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</si>
  <si>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</si>
  <si>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</si>
  <si>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</si>
  <si>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</si>
  <si>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</si>
  <si>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</si>
  <si>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</si>
  <si>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</si>
  <si>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</si>
  <si>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</si>
  <si>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</si>
  <si>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</si>
  <si>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</si>
  <si>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</si>
  <si>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</si>
  <si>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</si>
  <si>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</si>
  <si>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</si>
  <si>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</si>
  <si>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</si>
  <si>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</si>
  <si>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</si>
  <si>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</si>
  <si>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</si>
  <si>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</si>
  <si>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</si>
  <si>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</si>
  <si>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</si>
  <si>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</si>
  <si>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</si>
  <si>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</si>
  <si>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</si>
  <si>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</si>
  <si>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</si>
  <si>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</si>
  <si>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</si>
  <si>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</si>
  <si>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</si>
  <si>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</si>
  <si>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</si>
  <si>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</si>
  <si>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</si>
  <si>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</si>
  <si>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</si>
  <si>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</si>
  <si>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</si>
  <si>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</si>
  <si>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</si>
  <si>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</si>
  <si>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</si>
  <si>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</si>
  <si>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</si>
  <si>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</si>
  <si>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</si>
  <si>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</si>
  <si>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</si>
  <si>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</si>
  <si>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</si>
  <si>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</si>
  <si>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</si>
  <si>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</si>
  <si>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</si>
  <si>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</si>
  <si>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</si>
  <si>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</si>
  <si>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</si>
  <si>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</si>
  <si>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</si>
  <si>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</si>
  <si>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</si>
  <si>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</si>
  <si>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</si>
  <si>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</si>
  <si>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</si>
  <si>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</si>
  <si>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</si>
  <si>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</si>
  <si>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</si>
  <si>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</si>
  <si>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</si>
  <si>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</si>
  <si>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</si>
  <si>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</si>
  <si>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</si>
  <si>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</si>
  <si>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</si>
  <si>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</si>
  <si>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</si>
  <si>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</si>
  <si>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</si>
  <si>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</si>
  <si>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</si>
  <si>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</si>
  <si>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</si>
  <si>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</si>
  <si>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</si>
  <si>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</si>
  <si>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</si>
  <si>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</si>
  <si>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</si>
  <si>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</si>
  <si>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</si>
  <si>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</si>
  <si>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</si>
  <si>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</si>
  <si>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</si>
  <si>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</si>
  <si>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</si>
  <si>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</si>
  <si>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</si>
  <si>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</si>
  <si>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</si>
  <si>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</si>
  <si>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</si>
  <si>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</si>
  <si>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</si>
  <si>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</si>
  <si>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</si>
  <si>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</si>
  <si>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</si>
  <si>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</si>
  <si>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</si>
  <si>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</si>
  <si>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</si>
  <si>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</si>
  <si>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</si>
  <si>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</si>
  <si>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</si>
  <si>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</si>
  <si>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</si>
  <si>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</si>
  <si>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</si>
  <si>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</si>
  <si>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</si>
  <si>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</si>
  <si>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</si>
  <si>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</si>
  <si>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</si>
  <si>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</si>
  <si>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</si>
  <si>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</si>
  <si>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</si>
  <si>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</si>
  <si>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</si>
  <si>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</si>
  <si>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</si>
  <si>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</si>
  <si>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</si>
  <si>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</si>
  <si>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</si>
  <si>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</si>
  <si>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</si>
  <si>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</si>
  <si>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</si>
  <si>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</si>
  <si>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</si>
  <si>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</si>
  <si>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</si>
  <si>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</si>
  <si>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</si>
  <si>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</si>
  <si>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</si>
  <si>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</si>
  <si>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</si>
  <si>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</si>
  <si>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</si>
  <si>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</si>
  <si>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</si>
  <si>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</si>
  <si>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</si>
  <si>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</si>
  <si>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</si>
  <si>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</si>
  <si>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</si>
  <si>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</si>
  <si>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</si>
  <si>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</si>
  <si>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</si>
  <si>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</si>
  <si>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</si>
  <si>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</si>
  <si>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</si>
  <si>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</si>
  <si>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</si>
  <si>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</si>
  <si>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</si>
  <si>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</si>
  <si>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</si>
  <si>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</si>
  <si>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</si>
  <si>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</si>
  <si>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</si>
  <si>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</si>
  <si>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</si>
  <si>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</si>
  <si>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</si>
  <si>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</si>
  <si>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</si>
  <si>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</si>
  <si>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</si>
  <si>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</si>
  <si>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</si>
  <si>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</si>
  <si>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</si>
  <si>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</si>
  <si>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</si>
  <si>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</si>
  <si>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</si>
  <si>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</si>
  <si>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</si>
  <si>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</si>
  <si>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</si>
  <si>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</si>
  <si>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</si>
  <si>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</si>
  <si>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</si>
  <si>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</si>
  <si>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</si>
  <si>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</si>
  <si>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</si>
  <si>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</si>
  <si>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</si>
  <si>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</si>
  <si>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</si>
  <si>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</si>
  <si>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</si>
  <si>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</si>
  <si>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</si>
  <si>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</si>
  <si>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</si>
  <si>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</si>
  <si>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</si>
  <si>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</si>
  <si>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</si>
  <si>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</si>
  <si>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</si>
  <si>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</si>
  <si>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</si>
  <si>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</si>
  <si>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</si>
  <si>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</si>
  <si>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</si>
  <si>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</si>
  <si>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</si>
  <si>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</si>
  <si>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</si>
  <si>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</si>
  <si>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</si>
  <si>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</si>
  <si>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</si>
  <si>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</si>
  <si>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</si>
  <si>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</si>
  <si>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</si>
  <si>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</si>
  <si>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</si>
  <si>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</si>
  <si>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</si>
  <si>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</si>
  <si>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</si>
  <si>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</si>
  <si>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</si>
  <si>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</si>
  <si>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</si>
  <si>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</si>
  <si>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</si>
  <si>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</si>
  <si>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</si>
  <si>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</si>
  <si>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</si>
  <si>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</si>
  <si>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</si>
  <si>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</si>
  <si>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</si>
  <si>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</si>
  <si>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</si>
  <si>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</si>
  <si>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</si>
  <si>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</si>
  <si>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</si>
  <si>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</si>
  <si>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</si>
  <si>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</si>
  <si>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</si>
  <si>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</si>
  <si>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</si>
  <si>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</si>
  <si>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</si>
  <si>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</si>
  <si>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</si>
  <si>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</si>
  <si>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</si>
  <si>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</si>
  <si>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</si>
  <si>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</si>
  <si>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</si>
  <si>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</si>
  <si>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</si>
  <si>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</si>
  <si>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</si>
  <si>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</si>
  <si>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</si>
  <si>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</si>
  <si>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</si>
  <si>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</si>
  <si>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</si>
  <si>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</si>
  <si>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</si>
  <si>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</si>
  <si>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</si>
  <si>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</si>
  <si>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</si>
  <si>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</si>
  <si>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</si>
  <si>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</si>
  <si>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</si>
  <si>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</si>
  <si>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</si>
  <si>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</si>
  <si>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</si>
  <si>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</si>
  <si>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</si>
  <si>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</si>
  <si>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</si>
  <si>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</si>
  <si>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</si>
  <si>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</si>
  <si>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</si>
  <si>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</si>
  <si>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</si>
  <si>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</si>
  <si>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</si>
  <si>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</si>
  <si>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</si>
  <si>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</si>
  <si>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</si>
  <si>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</si>
  <si>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</si>
  <si>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</si>
  <si>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</si>
  <si>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</si>
  <si>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</si>
  <si>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</si>
  <si>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</si>
  <si>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</si>
  <si>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</si>
  <si>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</si>
  <si>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</si>
  <si>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</si>
  <si>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</si>
  <si>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</si>
  <si>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</si>
  <si>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</si>
  <si>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</si>
  <si>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</si>
  <si>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</si>
  <si>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</si>
  <si>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</si>
  <si>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</si>
  <si>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</si>
  <si>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</si>
  <si>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</si>
  <si>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</si>
  <si>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</si>
  <si>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</si>
  <si>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</si>
  <si>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</si>
  <si>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</si>
  <si>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</si>
  <si>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</si>
  <si>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</si>
  <si>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</si>
  <si>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</si>
  <si>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</si>
  <si>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</si>
  <si>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</si>
  <si>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</si>
  <si>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</si>
  <si>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</si>
  <si>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</si>
  <si>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</si>
  <si>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</si>
  <si>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</si>
  <si>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</si>
  <si>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</si>
  <si>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</si>
  <si>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</si>
  <si>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</si>
  <si>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</si>
  <si>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</si>
  <si>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</si>
  <si>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</si>
  <si>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</si>
  <si>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</si>
  <si>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</si>
  <si>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</si>
  <si>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</si>
  <si>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</si>
  <si>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</si>
  <si>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</si>
  <si>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</si>
  <si>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</si>
  <si>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</si>
  <si>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</si>
  <si>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</si>
  <si>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</si>
  <si>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</si>
  <si>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</si>
  <si>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</si>
  <si>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</si>
  <si>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</si>
  <si>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</si>
  <si>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</si>
  <si>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</si>
  <si>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</si>
  <si>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</si>
  <si>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</si>
  <si>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</si>
  <si>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</si>
  <si>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</si>
  <si>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</si>
  <si>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</si>
  <si>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</si>
  <si>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</si>
  <si>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</si>
  <si>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</si>
  <si>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</si>
  <si>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</si>
  <si>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</si>
  <si>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</si>
  <si>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</si>
  <si>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</si>
  <si>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</si>
  <si>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</si>
  <si>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</si>
  <si>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</si>
  <si>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</si>
  <si>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</si>
  <si>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</si>
  <si>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</si>
  <si>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</si>
  <si>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</si>
  <si>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</si>
  <si>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</si>
  <si>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</si>
  <si>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</si>
  <si>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</si>
  <si>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</si>
  <si>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</si>
  <si>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</si>
  <si>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</si>
  <si>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</si>
  <si>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</si>
  <si>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</si>
  <si>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</si>
  <si>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</si>
  <si>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</si>
  <si>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</si>
  <si>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</si>
  <si>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</si>
  <si>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</si>
  <si>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</si>
  <si>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</si>
  <si>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</si>
  <si>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</si>
  <si>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</si>
  <si>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</si>
  <si>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</si>
  <si>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</si>
  <si>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</si>
  <si>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</si>
  <si>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</si>
  <si>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</si>
  <si>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</si>
  <si>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</si>
  <si>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</si>
  <si>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</si>
  <si>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</si>
  <si>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</si>
  <si>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</si>
  <si>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</si>
  <si>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</si>
  <si>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</si>
  <si>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</si>
  <si>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</si>
  <si>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</si>
  <si>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</si>
  <si>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</si>
  <si>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</si>
  <si>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</si>
  <si>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</si>
  <si>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</si>
  <si>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</si>
  <si>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</si>
  <si>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</si>
  <si>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</si>
  <si>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</si>
  <si>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</si>
  <si>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</si>
  <si>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</si>
  <si>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</si>
  <si>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</si>
  <si>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</si>
  <si>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</si>
  <si>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</si>
  <si>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</si>
  <si>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</si>
  <si>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</si>
  <si>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</si>
  <si>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</si>
  <si>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</si>
  <si>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</si>
  <si>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</si>
  <si>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</si>
  <si>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</si>
  <si>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</si>
  <si>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</si>
  <si>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</si>
  <si>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</si>
  <si>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</si>
  <si>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</si>
  <si>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</si>
  <si>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</si>
  <si>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</si>
  <si>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</si>
  <si>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</si>
  <si>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</si>
  <si>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</si>
  <si>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</si>
  <si>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</si>
  <si>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</si>
  <si>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</si>
  <si>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</si>
  <si>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</si>
  <si>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</si>
  <si>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</si>
  <si>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</si>
  <si>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</si>
  <si>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</si>
  <si>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</si>
  <si>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</si>
  <si>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</si>
  <si>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</si>
  <si>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</si>
  <si>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</si>
  <si>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</si>
  <si>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</si>
  <si>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</si>
  <si>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</si>
  <si>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</si>
  <si>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</si>
  <si>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</si>
  <si>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</si>
  <si>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</si>
  <si>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</si>
  <si>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</si>
  <si>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</si>
  <si>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</si>
  <si>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</si>
  <si>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</si>
  <si>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</si>
  <si>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</si>
  <si>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</si>
  <si>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</si>
  <si>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</si>
  <si>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</si>
  <si>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</si>
  <si>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</si>
  <si>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</si>
  <si>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</si>
  <si>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</si>
  <si>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</si>
  <si>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</si>
  <si>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</si>
  <si>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</si>
  <si>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</si>
  <si>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</si>
  <si>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</si>
  <si>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</si>
  <si>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</si>
  <si>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</si>
  <si>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</si>
  <si>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</si>
  <si>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</si>
  <si>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</si>
  <si>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</si>
  <si>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</si>
  <si>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</si>
  <si>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</si>
  <si>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</si>
  <si>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</si>
  <si>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</si>
  <si>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</si>
  <si>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</si>
  <si>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</si>
  <si>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</si>
  <si>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</si>
  <si>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</si>
  <si>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</si>
  <si>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</si>
  <si>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</si>
  <si>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</si>
  <si>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</si>
  <si>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</si>
  <si>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</si>
  <si>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</si>
  <si>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</si>
  <si>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</si>
  <si>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</si>
  <si>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</si>
  <si>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</si>
  <si>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</si>
  <si>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</si>
  <si>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</si>
  <si>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</si>
  <si>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</si>
  <si>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</si>
  <si>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</si>
  <si>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</si>
  <si>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</si>
  <si>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</si>
  <si>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</si>
  <si>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</si>
  <si>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</si>
  <si>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</si>
  <si>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</si>
  <si>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</si>
  <si>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</si>
  <si>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</si>
  <si>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</si>
  <si>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</si>
  <si>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</si>
  <si>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</si>
  <si>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</si>
  <si>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</si>
  <si>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</si>
  <si>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</si>
  <si>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</si>
  <si>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</si>
  <si>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</si>
  <si>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</si>
  <si>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</si>
  <si>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</si>
  <si>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</si>
  <si>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</si>
  <si>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</si>
  <si>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</si>
  <si>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</si>
  <si>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</si>
  <si>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</si>
  <si>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</si>
  <si>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</si>
  <si>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</si>
  <si>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</si>
  <si>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</si>
  <si>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</si>
  <si>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</si>
  <si>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</si>
  <si>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</si>
  <si>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</si>
  <si>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</si>
  <si>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</si>
  <si>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</si>
  <si>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</si>
  <si>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</si>
  <si>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</si>
  <si>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</si>
  <si>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</si>
  <si>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</si>
  <si>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</si>
  <si>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</si>
  <si>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</si>
  <si>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</si>
  <si>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</si>
  <si>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</si>
  <si>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</si>
  <si>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</si>
  <si>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</si>
  <si>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</si>
  <si>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</si>
  <si>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</si>
  <si>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</si>
  <si>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</si>
  <si>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</si>
  <si>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</si>
  <si>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</si>
  <si>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</si>
  <si>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</si>
  <si>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</si>
  <si>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</si>
  <si>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</si>
  <si>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</si>
  <si>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</si>
  <si>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</si>
  <si>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</si>
  <si>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</si>
  <si>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</si>
  <si>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</si>
  <si>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</si>
  <si>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</si>
  <si>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</si>
  <si>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</si>
  <si>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</si>
  <si>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</si>
  <si>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</si>
  <si>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</si>
  <si>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</si>
  <si>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</si>
  <si>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</si>
  <si>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</si>
  <si>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</si>
  <si>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</si>
  <si>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</si>
  <si>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</si>
  <si>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</si>
  <si>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</si>
  <si>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</si>
  <si>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</si>
  <si>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</si>
  <si>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</si>
  <si>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</si>
  <si>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</si>
  <si>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</si>
  <si>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</si>
  <si>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</si>
  <si>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</si>
  <si>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</si>
  <si>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</si>
  <si>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</si>
  <si>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</si>
  <si>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</si>
  <si>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</si>
  <si>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</si>
  <si>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</si>
  <si>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</si>
  <si>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</si>
  <si>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</si>
  <si>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</si>
  <si>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</si>
  <si>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</si>
  <si>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</si>
  <si>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</si>
  <si>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</si>
  <si>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</si>
  <si>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</si>
  <si>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</si>
  <si>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</si>
  <si>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</si>
  <si>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</si>
  <si>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</si>
  <si>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</si>
  <si>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</si>
  <si>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</si>
  <si>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</si>
  <si>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</si>
  <si>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</si>
  <si>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</si>
  <si>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</si>
  <si>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</si>
  <si>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</si>
  <si>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</si>
  <si>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</si>
  <si>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</si>
  <si>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</si>
  <si>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</si>
  <si>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</si>
  <si>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</si>
  <si>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</si>
  <si>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</si>
  <si>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</si>
  <si>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</si>
  <si>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</si>
  <si>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</si>
  <si>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</si>
  <si>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</si>
  <si>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</si>
  <si>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</si>
  <si>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</si>
  <si>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</si>
  <si>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</si>
  <si>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</si>
  <si>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</si>
  <si>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</si>
  <si>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</si>
  <si>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</si>
  <si>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</si>
  <si>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</si>
  <si>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</si>
  <si>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</si>
  <si>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</si>
  <si>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</si>
  <si>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</si>
  <si>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</si>
  <si>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</si>
  <si>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</si>
  <si>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</si>
  <si>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</si>
  <si>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</si>
  <si>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</si>
  <si>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</si>
  <si>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</si>
  <si>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</si>
  <si>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</si>
  <si>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</si>
  <si>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</si>
  <si>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</si>
  <si>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</si>
  <si>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</si>
  <si>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</si>
  <si>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</si>
  <si>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</si>
  <si>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</si>
  <si>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</si>
  <si>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</si>
  <si>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</si>
  <si>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</si>
  <si>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</si>
  <si>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</si>
  <si>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</si>
  <si>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</si>
  <si>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</si>
  <si>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</si>
  <si>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</si>
  <si>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</si>
  <si>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</si>
  <si>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</si>
  <si>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</si>
  <si>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</si>
  <si>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</si>
  <si>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</si>
  <si>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</si>
  <si>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</si>
  <si>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</si>
  <si>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</si>
  <si>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</si>
  <si>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</si>
  <si>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</si>
  <si>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</si>
  <si>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</si>
  <si>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</si>
  <si>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</si>
  <si>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</si>
  <si>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</si>
  <si>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</si>
  <si>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</si>
  <si>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</si>
  <si>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</si>
  <si>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</si>
  <si>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</si>
  <si>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</si>
  <si>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</si>
  <si>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</si>
  <si>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</si>
  <si>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</si>
  <si>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</si>
  <si>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</si>
  <si>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</si>
  <si>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</si>
  <si>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</si>
  <si>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</si>
  <si>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</si>
  <si>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</si>
  <si>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</si>
  <si>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</si>
  <si>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</si>
  <si>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</si>
  <si>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</si>
  <si>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</si>
  <si>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</si>
  <si>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</si>
  <si>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</si>
  <si>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</si>
  <si>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</si>
  <si>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</si>
  <si>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</si>
  <si>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</si>
  <si>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</si>
  <si>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</si>
  <si>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</si>
  <si>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</si>
  <si>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</si>
  <si>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</si>
  <si>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</si>
  <si>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</si>
  <si>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</si>
  <si>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</si>
  <si>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</si>
  <si>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</si>
  <si>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</si>
  <si>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</si>
  <si>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</si>
  <si>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</si>
  <si>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</si>
  <si>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</si>
  <si>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</si>
  <si>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</si>
  <si>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</si>
  <si>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</si>
  <si>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</si>
  <si>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</si>
  <si>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</si>
  <si>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</si>
  <si>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</si>
  <si>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</si>
  <si>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</si>
  <si>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</si>
  <si>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</si>
  <si>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</si>
  <si>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</si>
  <si>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</si>
  <si>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</si>
  <si>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</si>
  <si>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</si>
  <si>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</si>
  <si>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</si>
  <si>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</si>
  <si>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</si>
  <si>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</si>
  <si>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</si>
  <si>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</si>
  <si>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</si>
  <si>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</si>
  <si>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</si>
  <si>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</si>
  <si>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</si>
  <si>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</si>
  <si>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</si>
  <si>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</si>
  <si>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</si>
  <si>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</si>
  <si>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</si>
  <si>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</si>
  <si>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</si>
  <si>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</si>
  <si>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</si>
  <si>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</si>
  <si>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</si>
  <si>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</si>
  <si>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</si>
  <si>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</si>
  <si>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</si>
  <si>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</si>
  <si>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</si>
  <si>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</si>
  <si>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</si>
  <si>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</si>
  <si>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</si>
  <si>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</si>
  <si>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</si>
  <si>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</si>
  <si>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</si>
  <si>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</si>
  <si>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</si>
  <si>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</si>
  <si>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</si>
  <si>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</si>
  <si>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</si>
  <si>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</si>
  <si>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</si>
  <si>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</si>
  <si>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</si>
  <si>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</si>
  <si>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</si>
  <si>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</si>
  <si>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</si>
  <si>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</si>
  <si>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</si>
  <si>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</si>
  <si>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</si>
  <si>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</si>
  <si>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</si>
  <si>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</si>
  <si>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</si>
  <si>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</si>
  <si>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</si>
  <si>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</si>
  <si>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</si>
  <si>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</si>
  <si>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</si>
  <si>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</si>
  <si>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</si>
  <si>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</si>
  <si>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</si>
  <si>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</si>
  <si>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</si>
  <si>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</si>
  <si>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</si>
  <si>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</si>
  <si>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</si>
  <si>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</si>
  <si>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</si>
  <si>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</si>
  <si>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</si>
  <si>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</si>
  <si>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</si>
  <si>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</si>
  <si>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</si>
  <si>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</si>
  <si>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</si>
  <si>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</si>
  <si>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</si>
  <si>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</si>
  <si>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</si>
  <si>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</si>
  <si>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</si>
  <si>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</si>
  <si>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</si>
  <si>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</si>
  <si>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</si>
  <si>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</si>
  <si>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</si>
  <si>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</si>
  <si>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</si>
  <si>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</si>
  <si>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</si>
  <si>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</si>
  <si>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</si>
  <si>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</si>
  <si>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</si>
  <si>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</si>
  <si>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</si>
  <si>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</si>
  <si>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</si>
  <si>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</si>
  <si>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</si>
  <si>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</si>
  <si>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</si>
  <si>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</si>
  <si>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</si>
  <si>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</si>
  <si>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</si>
  <si>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</si>
  <si>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</si>
  <si>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</si>
  <si>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</si>
  <si>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</si>
  <si>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</si>
  <si>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</si>
  <si>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</si>
  <si>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</si>
  <si>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</si>
  <si>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</si>
  <si>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</si>
  <si>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</si>
  <si>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</si>
  <si>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</si>
  <si>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</si>
  <si>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</si>
  <si>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</si>
  <si>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</si>
  <si>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</si>
  <si>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</si>
  <si>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</si>
  <si>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</si>
  <si>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</si>
  <si>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</si>
  <si>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</si>
  <si>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</si>
  <si>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</si>
  <si>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</si>
  <si>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</si>
  <si>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</si>
  <si>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</si>
  <si>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</si>
  <si>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</si>
  <si>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</si>
  <si>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</si>
  <si>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</si>
  <si>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</si>
  <si>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</si>
  <si>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</si>
  <si>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</si>
  <si>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</si>
  <si>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</si>
  <si>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</si>
  <si>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</si>
  <si>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</si>
  <si>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</si>
  <si>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</si>
  <si>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</si>
  <si>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</si>
  <si>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</si>
  <si>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</si>
  <si>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</si>
  <si>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</si>
  <si>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</si>
  <si>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</si>
  <si>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</si>
  <si>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</si>
  <si>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</si>
  <si>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</si>
  <si>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</si>
  <si>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</si>
  <si>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</si>
  <si>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</si>
  <si>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</si>
  <si>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</si>
  <si>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</si>
  <si>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</si>
  <si>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</si>
  <si>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</si>
  <si>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</si>
  <si>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</si>
  <si>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</si>
  <si>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</si>
  <si>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</si>
  <si>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</si>
  <si>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</si>
  <si>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</si>
  <si>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</si>
  <si>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</si>
  <si>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</si>
  <si>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</si>
  <si>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</si>
  <si>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</si>
  <si>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</si>
  <si>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</si>
  <si>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</si>
  <si>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</si>
  <si>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</si>
  <si>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</si>
  <si>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</si>
  <si>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</si>
  <si>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</si>
  <si>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</si>
  <si>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</si>
  <si>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</si>
  <si>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</si>
  <si>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</si>
  <si>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</si>
  <si>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</si>
  <si>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</si>
  <si>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</si>
  <si>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</si>
  <si>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</si>
  <si>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</si>
  <si>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</si>
  <si>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</si>
  <si>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</si>
  <si>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</si>
  <si>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</si>
  <si>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</si>
  <si>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</si>
  <si>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</si>
  <si>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</si>
  <si>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</si>
  <si>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</si>
  <si>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</si>
  <si>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</si>
  <si>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</si>
  <si>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</si>
  <si>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</si>
  <si>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</si>
  <si>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</si>
  <si>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</si>
  <si>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</si>
  <si>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</si>
  <si>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</si>
  <si>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</si>
  <si>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</si>
  <si>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</si>
  <si>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</si>
  <si>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</si>
  <si>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</si>
  <si>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</si>
  <si>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</si>
  <si>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</si>
  <si>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</si>
  <si>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</si>
  <si>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</si>
  <si>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</si>
  <si>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</si>
  <si>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</si>
  <si>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</si>
  <si>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</si>
  <si>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</si>
  <si>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</si>
  <si>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</si>
  <si>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</si>
  <si>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</si>
  <si>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</si>
  <si>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</si>
  <si>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</si>
  <si>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</si>
  <si>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</si>
  <si>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</si>
  <si>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</si>
  <si>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</si>
  <si>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</si>
  <si>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</si>
  <si>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</si>
  <si>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</si>
  <si>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</si>
  <si>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</si>
  <si>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</si>
  <si>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</si>
  <si>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</si>
  <si>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</si>
  <si>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</si>
  <si>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</si>
  <si>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</si>
  <si>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</si>
  <si>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</si>
  <si>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</si>
  <si>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</si>
  <si>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</si>
  <si>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</si>
  <si>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</si>
  <si>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</si>
  <si>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</si>
  <si>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</si>
  <si>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</si>
  <si>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</si>
  <si>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</si>
  <si>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</si>
  <si>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</si>
  <si>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</si>
  <si>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</si>
  <si>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</si>
  <si>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</si>
  <si>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</si>
  <si>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</si>
  <si>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</si>
  <si>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</si>
  <si>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</si>
  <si>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</si>
  <si>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</si>
  <si>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</si>
  <si>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</si>
  <si>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</si>
  <si>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</si>
  <si>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</si>
  <si>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</si>
  <si>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</si>
  <si>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</si>
  <si>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</si>
  <si>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</si>
  <si>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</si>
  <si>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</si>
  <si>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</si>
  <si>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</si>
  <si>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</si>
  <si>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</si>
  <si>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</si>
  <si>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</si>
  <si>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</si>
  <si>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</si>
  <si>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</si>
  <si>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</si>
  <si>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</si>
  <si>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</si>
  <si>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</si>
  <si>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</si>
  <si>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</si>
  <si>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</si>
  <si>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</si>
  <si>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</si>
  <si>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</si>
  <si>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</si>
  <si>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</si>
  <si>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</si>
  <si>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</si>
  <si>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</si>
  <si>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</si>
  <si>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</si>
  <si>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</si>
  <si>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</si>
  <si>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</si>
  <si>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</si>
  <si>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</si>
  <si>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</si>
  <si>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</si>
  <si>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</si>
  <si>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</si>
  <si>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</si>
  <si>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</si>
  <si>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</si>
  <si>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</si>
  <si>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</si>
  <si>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</si>
  <si>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</si>
  <si>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</si>
  <si>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</si>
  <si>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</si>
  <si>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</si>
  <si>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</si>
  <si>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</si>
  <si>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</si>
  <si>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</si>
  <si>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</si>
  <si>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</si>
  <si>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</si>
  <si>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</si>
  <si>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</si>
  <si>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</si>
  <si>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</si>
  <si>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</si>
  <si>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</si>
  <si>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</si>
  <si>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</si>
  <si>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</si>
  <si>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</si>
  <si>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</si>
  <si>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</si>
  <si>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</si>
  <si>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</si>
  <si>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</si>
  <si>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</si>
  <si>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</si>
  <si>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</si>
  <si>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</si>
  <si>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</si>
  <si>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</si>
  <si>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</si>
  <si>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</si>
  <si>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</si>
  <si>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</si>
  <si>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</si>
  <si>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</si>
  <si>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</si>
  <si>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</si>
  <si>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</si>
  <si>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</si>
  <si>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</si>
  <si>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</si>
  <si>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</si>
  <si>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</si>
  <si>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</si>
  <si>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</si>
  <si>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</si>
  <si>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</si>
  <si>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</si>
  <si>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</si>
  <si>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</si>
  <si>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</si>
  <si>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</si>
  <si>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</si>
  <si>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</si>
  <si>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</si>
  <si>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</si>
  <si>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</si>
  <si>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</si>
  <si>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</si>
  <si>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</si>
  <si>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</si>
  <si>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</si>
  <si>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</si>
  <si>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</si>
  <si>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</si>
  <si>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</si>
  <si>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</si>
  <si>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</si>
  <si>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</si>
  <si>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</si>
  <si>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</si>
  <si>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</si>
  <si>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</si>
  <si>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</si>
  <si>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</si>
  <si>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</si>
  <si>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</si>
  <si>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</si>
  <si>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</si>
  <si>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</si>
  <si>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</si>
  <si>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</si>
  <si>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</si>
  <si>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</si>
  <si>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</si>
  <si>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</si>
  <si>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</si>
  <si>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</si>
  <si>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</si>
  <si>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</si>
  <si>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</si>
  <si>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</si>
  <si>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</si>
  <si>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</si>
  <si>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</si>
  <si>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</si>
  <si>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</si>
  <si>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</si>
  <si>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</si>
  <si>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</si>
  <si>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</si>
  <si>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</si>
  <si>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</si>
  <si>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</si>
  <si>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</si>
  <si>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</si>
  <si>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</si>
  <si>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</si>
  <si>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</si>
  <si>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</si>
  <si>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</si>
  <si>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</si>
  <si>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</si>
  <si>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</si>
  <si>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</si>
  <si>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</si>
  <si>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</si>
  <si>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</si>
  <si>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</si>
  <si>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</si>
  <si>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</si>
  <si>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</si>
  <si>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</si>
  <si>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</si>
  <si>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</si>
  <si>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</si>
  <si>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</si>
  <si>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</si>
  <si>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</si>
  <si>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</si>
  <si>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</si>
  <si>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</si>
  <si>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</si>
  <si>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</si>
  <si>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</si>
  <si>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</si>
  <si>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</si>
  <si>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</si>
  <si>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</si>
  <si>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</si>
  <si>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</si>
  <si>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</si>
  <si>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</si>
  <si>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</si>
  <si>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</si>
  <si>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</si>
  <si>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</si>
  <si>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</si>
  <si>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</si>
  <si>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</si>
  <si>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</si>
  <si>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</si>
  <si>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</si>
  <si>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</si>
  <si>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</si>
  <si>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</si>
  <si>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</si>
  <si>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</si>
  <si>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</si>
  <si>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</si>
  <si>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</si>
  <si>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</si>
  <si>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</si>
  <si>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</si>
  <si>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</si>
  <si>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</si>
  <si>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</si>
  <si>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</si>
  <si>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</si>
  <si>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</si>
  <si>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</si>
  <si>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</si>
  <si>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</si>
  <si>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</si>
  <si>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</si>
  <si>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</si>
  <si>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</si>
  <si>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</si>
  <si>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</si>
  <si>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</si>
  <si>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</si>
  <si>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</si>
  <si>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</si>
  <si>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</si>
  <si>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</si>
  <si>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</si>
  <si>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</si>
  <si>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</si>
  <si>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</si>
  <si>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</si>
  <si>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</si>
  <si>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</si>
  <si>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</si>
  <si>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</si>
  <si>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</si>
  <si>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</si>
  <si>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</si>
  <si>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</si>
  <si>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</si>
  <si>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</si>
  <si>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</si>
  <si>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</si>
  <si>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</si>
  <si>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</si>
  <si>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</si>
  <si>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</si>
  <si>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</si>
  <si>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</si>
  <si>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</si>
  <si>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</si>
  <si>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</si>
  <si>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</si>
  <si>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</si>
  <si>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</si>
  <si>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</si>
  <si>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</si>
  <si>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</si>
  <si>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</si>
  <si>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</si>
  <si>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</si>
  <si>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</si>
  <si>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</si>
  <si>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</si>
  <si>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</si>
  <si>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</si>
  <si>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</si>
  <si>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</si>
  <si>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</si>
  <si>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</si>
  <si>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</si>
  <si>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</si>
  <si>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</si>
  <si>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</si>
  <si>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</si>
  <si>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</si>
  <si>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</si>
  <si>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</si>
  <si>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</si>
  <si>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</si>
  <si>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</si>
  <si>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</si>
  <si>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</si>
  <si>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</si>
  <si>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</si>
  <si>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</si>
  <si>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</si>
  <si>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</si>
  <si>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</si>
  <si>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</si>
  <si>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</si>
  <si>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</si>
  <si>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</si>
  <si>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</si>
  <si>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</si>
  <si>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</si>
  <si>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</si>
  <si>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</si>
  <si>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</si>
  <si>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</si>
  <si>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</si>
  <si>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</si>
  <si>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</si>
  <si>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</si>
  <si>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</si>
  <si>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</si>
  <si>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</si>
  <si>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</si>
  <si>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</si>
  <si>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</si>
  <si>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</si>
  <si>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</si>
  <si>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</si>
  <si>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</si>
  <si>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</si>
  <si>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</si>
  <si>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</si>
  <si>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</si>
  <si>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</si>
  <si>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</si>
  <si>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</si>
  <si>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</si>
  <si>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</si>
  <si>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</si>
  <si>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</si>
  <si>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</si>
  <si>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</si>
  <si>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</si>
  <si>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</si>
  <si>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</si>
  <si>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</si>
  <si>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</si>
  <si>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</si>
  <si>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</si>
  <si>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</si>
  <si>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</si>
  <si>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</si>
  <si>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</si>
  <si>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</si>
  <si>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</si>
  <si>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</si>
  <si>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</si>
  <si>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</si>
  <si>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</si>
  <si>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</si>
  <si>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</si>
  <si>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</si>
  <si>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</si>
  <si>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</si>
  <si>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</si>
  <si>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</si>
  <si>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</si>
  <si>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</si>
  <si>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</si>
  <si>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</si>
  <si>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</si>
  <si>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</si>
  <si>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</si>
  <si>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</si>
  <si>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</si>
  <si>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</si>
  <si>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</si>
  <si>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</si>
  <si>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</si>
  <si>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</si>
  <si>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</si>
  <si>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</si>
  <si>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</si>
  <si>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</si>
  <si>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</si>
  <si>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</si>
  <si>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</si>
  <si>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</si>
  <si>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</si>
  <si>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</si>
  <si>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</si>
  <si>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</si>
  <si>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</si>
  <si>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</si>
  <si>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</si>
  <si>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</si>
  <si>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</si>
  <si>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</si>
  <si>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</si>
  <si>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</si>
  <si>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</si>
  <si>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</si>
  <si>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</si>
  <si>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</si>
  <si>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</si>
  <si>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</si>
  <si>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</si>
  <si>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</si>
  <si>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</si>
  <si>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</si>
  <si>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</si>
  <si>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</si>
  <si>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</si>
  <si>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</si>
  <si>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</si>
  <si>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</si>
  <si>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</si>
  <si>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</si>
  <si>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</si>
  <si>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</si>
  <si>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</si>
  <si>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</si>
  <si>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</si>
  <si>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</si>
  <si>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</si>
  <si>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</si>
  <si>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</si>
  <si>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</si>
  <si>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</si>
  <si>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</si>
  <si>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</si>
  <si>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</si>
  <si>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</si>
  <si>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</si>
  <si>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</si>
  <si>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</si>
  <si>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</si>
  <si>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</si>
  <si>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</si>
  <si>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</si>
  <si>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</si>
  <si>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</si>
  <si>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</si>
  <si>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</si>
  <si>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</si>
  <si>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</si>
  <si>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</si>
  <si>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</si>
  <si>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</si>
  <si>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</si>
  <si>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</si>
  <si>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</si>
  <si>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</si>
  <si>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</si>
  <si>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</si>
  <si>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</si>
  <si>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</si>
  <si>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</si>
  <si>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</si>
  <si>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</si>
  <si>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</si>
  <si>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</si>
  <si>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</si>
  <si>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</si>
  <si>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</si>
  <si>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</si>
  <si>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</si>
  <si>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</si>
  <si>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</si>
  <si>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</si>
  <si>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</si>
  <si>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</si>
  <si>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</si>
  <si>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</si>
  <si>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</si>
  <si>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</si>
  <si>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</si>
  <si>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</si>
  <si>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</si>
  <si>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</si>
  <si>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</si>
  <si>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</si>
  <si>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</si>
  <si>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</si>
  <si>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</si>
  <si>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</si>
  <si>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</si>
  <si>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</si>
  <si>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</si>
  <si>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</si>
  <si>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</si>
  <si>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</si>
  <si>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</si>
  <si>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</si>
  <si>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</si>
  <si>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</si>
  <si>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</si>
  <si>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</si>
  <si>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</si>
  <si>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</si>
  <si>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</si>
  <si>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</si>
  <si>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</si>
  <si>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</si>
  <si>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</si>
  <si>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</si>
  <si>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</si>
  <si>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</si>
  <si>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</si>
  <si>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</si>
  <si>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</si>
  <si>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</si>
  <si>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</si>
  <si>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</si>
  <si>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</si>
  <si>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</si>
  <si>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</si>
  <si>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</si>
  <si>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</si>
  <si>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</si>
  <si>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</si>
  <si>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</si>
  <si>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</si>
  <si>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</si>
  <si>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</si>
  <si>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</si>
  <si>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</si>
  <si>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</si>
  <si>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</si>
  <si>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</si>
  <si>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</si>
  <si>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</si>
  <si>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</si>
  <si>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</si>
  <si>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</si>
  <si>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</si>
  <si>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</si>
  <si>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</si>
  <si>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</si>
  <si>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</si>
  <si>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</si>
  <si>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</si>
  <si>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</si>
  <si>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</si>
  <si>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</si>
  <si>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</si>
  <si>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</si>
  <si>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</si>
  <si>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</si>
  <si>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</si>
  <si>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</si>
  <si>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</si>
  <si>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</si>
  <si>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</si>
  <si>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</si>
  <si>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</si>
  <si>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</si>
  <si>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</si>
  <si>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</si>
  <si>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</si>
  <si>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</si>
  <si>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</si>
  <si>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</si>
  <si>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</si>
  <si>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</si>
  <si>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</si>
  <si>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</si>
  <si>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</si>
  <si>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</si>
  <si>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</si>
  <si>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</si>
  <si>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</si>
  <si>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</si>
  <si>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</si>
  <si>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</si>
  <si>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</si>
  <si>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</si>
  <si>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</si>
  <si>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</si>
  <si>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</si>
  <si>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</si>
  <si>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</si>
  <si>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</si>
  <si>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</si>
  <si>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</si>
  <si>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</si>
  <si>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</si>
  <si>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</si>
  <si>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</si>
  <si>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</si>
  <si>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</si>
  <si>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</si>
  <si>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</si>
  <si>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</si>
  <si>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</si>
  <si>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</si>
  <si>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</si>
  <si>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</si>
  <si>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</si>
  <si>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</si>
  <si>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</si>
  <si>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</si>
  <si>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</si>
  <si>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</si>
  <si>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</si>
  <si>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</si>
  <si>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</si>
  <si>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</si>
  <si>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</si>
  <si>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</si>
  <si>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</si>
  <si>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</si>
  <si>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</si>
  <si>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</si>
  <si>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</si>
  <si>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</si>
  <si>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</si>
  <si>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</si>
  <si>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</si>
  <si>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</si>
  <si>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</si>
  <si>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</si>
  <si>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</si>
  <si>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</si>
  <si>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</si>
  <si>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</si>
  <si>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</si>
  <si>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</si>
  <si>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</si>
  <si>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</si>
  <si>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</si>
  <si>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</si>
  <si>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</si>
  <si>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</si>
  <si>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</si>
  <si>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</si>
  <si>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</si>
  <si>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</si>
  <si>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</si>
  <si>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</si>
  <si>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</si>
  <si>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</si>
  <si>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</si>
  <si>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</si>
  <si>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</si>
  <si>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</si>
  <si>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</si>
  <si>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</si>
  <si>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</si>
  <si>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</si>
  <si>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</si>
  <si>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</si>
  <si>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</si>
  <si>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</si>
  <si>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</si>
  <si>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</si>
  <si>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</si>
  <si>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</si>
  <si>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</si>
  <si>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</si>
  <si>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</si>
  <si>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</si>
  <si>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</si>
  <si>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</si>
  <si>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</si>
  <si>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</si>
  <si>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</si>
  <si>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</si>
  <si>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</si>
  <si>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</si>
  <si>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</si>
  <si>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</si>
  <si>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</si>
  <si>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</si>
  <si>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</si>
  <si>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</si>
  <si>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</si>
  <si>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</si>
  <si>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</si>
  <si>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</si>
  <si>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</si>
  <si>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</si>
  <si>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</si>
  <si>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</si>
  <si>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</si>
  <si>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</si>
  <si>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</si>
  <si>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</si>
  <si>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</si>
  <si>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</si>
  <si>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</si>
  <si>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</si>
  <si>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</si>
  <si>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</si>
  <si>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</si>
  <si>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</si>
  <si>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</si>
  <si>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</si>
  <si>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</si>
  <si>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</si>
  <si>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</si>
  <si>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</si>
  <si>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</si>
  <si>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</si>
  <si>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</si>
  <si>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</si>
  <si>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</si>
  <si>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</si>
  <si>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</si>
  <si>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</si>
  <si>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</si>
  <si>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</si>
  <si>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</si>
  <si>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</si>
  <si>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</si>
  <si>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</si>
  <si>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</si>
  <si>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</si>
  <si>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</si>
  <si>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</si>
  <si>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</si>
  <si>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</si>
  <si>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</si>
  <si>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</si>
  <si>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</si>
  <si>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</si>
  <si>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</si>
  <si>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</si>
  <si>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</si>
  <si>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</si>
  <si>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</si>
  <si>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</si>
  <si>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</si>
  <si>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</si>
  <si>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</si>
  <si>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</si>
  <si>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</si>
  <si>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</si>
  <si>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</si>
  <si>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</si>
  <si>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</si>
  <si>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</si>
  <si>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</si>
  <si>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</si>
  <si>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</si>
  <si>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</si>
  <si>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</si>
  <si>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</si>
  <si>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</si>
  <si>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</si>
  <si>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</si>
  <si>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</si>
  <si>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</si>
  <si>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</si>
  <si>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</si>
  <si>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刘梅</t>
  </si>
  <si>
    <t>吴薇</t>
  </si>
  <si>
    <t>抵押</t>
  </si>
  <si>
    <t>房地产抵押价值</t>
  </si>
  <si>
    <t>其他：</t>
  </si>
  <si>
    <t>企业</t>
  </si>
  <si>
    <t>出让</t>
  </si>
  <si>
    <t>正常</t>
  </si>
  <si>
    <t>押一</t>
  </si>
  <si>
    <r>
      <rPr>
        <b/>
        <sz val="16"/>
        <color indexed="10"/>
        <rFont val="楷体_GB2312"/>
        <family val="3"/>
        <charset val="134"/>
      </rPr>
      <t>基准地价系数修正法</t>
    </r>
    <phoneticPr fontId="3" type="noConversion"/>
  </si>
  <si>
    <t>建筑面积</t>
    <phoneticPr fontId="3"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</si>
  <si>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</si>
  <si>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</si>
  <si>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</si>
  <si>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</si>
  <si>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</si>
  <si>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总价</t>
    <phoneticPr fontId="3" type="noConversion"/>
  </si>
  <si>
    <t>万元</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</si>
  <si>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</si>
  <si>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</si>
  <si>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</si>
  <si>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</si>
  <si>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</si>
  <si>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用途类别</t>
    <phoneticPr fontId="3" type="noConversion"/>
  </si>
  <si>
    <t>商务金融用地（办公类）</t>
  </si>
  <si>
    <t>宗地容积率</t>
  </si>
  <si>
    <t>楼层</t>
    <phoneticPr fontId="3" type="noConversion"/>
  </si>
  <si>
    <t>（地上）</t>
    <phoneticPr fontId="3" type="noConversion"/>
  </si>
  <si>
    <t>1.</t>
    <phoneticPr fontId="3" type="noConversion"/>
  </si>
  <si>
    <t>适用的楼面熟地价</t>
    <phoneticPr fontId="3" type="noConversion"/>
  </si>
  <si>
    <t>（1）</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</si>
  <si>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</si>
  <si>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</si>
  <si>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</si>
  <si>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估价对象级别</t>
    <phoneticPr fontId="3" type="noConversion"/>
  </si>
  <si>
    <t>容积率</t>
    <phoneticPr fontId="3" type="noConversion"/>
  </si>
  <si>
    <t>所在商业街</t>
    <phoneticPr fontId="3" type="noConversion"/>
  </si>
  <si>
    <t>不临58条商业街</t>
  </si>
  <si>
    <t>A1</t>
    <phoneticPr fontId="3" type="noConversion"/>
  </si>
  <si>
    <t>临商业街红线1/4标准深度占地面积／宗地总面积</t>
    <phoneticPr fontId="3" type="noConversion"/>
  </si>
  <si>
    <t>容积率             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</si>
  <si>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</si>
  <si>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</si>
  <si>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</si>
  <si>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</si>
  <si>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</si>
  <si>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</si>
  <si>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</si>
  <si>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</si>
  <si>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</si>
  <si>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</si>
  <si>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</si>
  <si>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</si>
  <si>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加价幅度</t>
    <phoneticPr fontId="3" type="noConversion"/>
  </si>
  <si>
    <t>临商业街红线1/4至2/4标准深度占地面积／宗地总面积</t>
    <phoneticPr fontId="3" type="noConversion"/>
  </si>
  <si>
    <t>商业R≥1</t>
    <phoneticPr fontId="3" type="noConversion"/>
  </si>
  <si>
    <t>7层及以上</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</si>
  <si>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</si>
  <si>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</si>
  <si>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</si>
  <si>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</si>
  <si>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商业R&lt;1</t>
    <phoneticPr fontId="3" type="noConversion"/>
  </si>
  <si>
    <t>（2）</t>
    <phoneticPr fontId="3" type="noConversion"/>
  </si>
  <si>
    <t>特殊情况修正（居住用途）</t>
    <phoneticPr fontId="3" type="noConversion"/>
  </si>
  <si>
    <t>需根据项目情况调整公式修正项</t>
    <phoneticPr fontId="3" type="noConversion"/>
  </si>
  <si>
    <t>地上第7层及以上各层</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</si>
  <si>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</si>
  <si>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</si>
  <si>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</si>
  <si>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</si>
  <si>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t>轨道交通站点周边</t>
    <phoneticPr fontId="3" type="noConversion"/>
  </si>
  <si>
    <t>无</t>
    <phoneticPr fontId="3" type="noConversion"/>
  </si>
  <si>
    <t>无</t>
  </si>
  <si>
    <t>1000米以外</t>
  </si>
  <si>
    <t>其他（垃圾填埋场/污水处理厂等），自定义，修正幅度不超过±10%</t>
    <phoneticPr fontId="3" type="noConversion"/>
  </si>
  <si>
    <r>
      <rPr>
        <sz val="10"/>
        <color indexed="8"/>
        <rFont val="楷体_GB2312"/>
        <family val="3"/>
        <charset val="134"/>
      </rPr>
      <t>修正系数</t>
    </r>
    <phoneticPr fontId="3" type="noConversion"/>
  </si>
  <si>
    <t>商业</t>
    <phoneticPr fontId="3" type="noConversion"/>
  </si>
  <si>
    <t>办公</t>
    <phoneticPr fontId="3" type="noConversion"/>
  </si>
  <si>
    <t>住宅</t>
    <phoneticPr fontId="3" type="noConversion"/>
  </si>
  <si>
    <t>工业</t>
    <phoneticPr fontId="3" type="noConversion"/>
  </si>
  <si>
    <t>（3）</t>
    <phoneticPr fontId="3" type="noConversion"/>
  </si>
  <si>
    <t>开发程度差异修正</t>
    <phoneticPr fontId="3" type="noConversion"/>
  </si>
  <si>
    <t>估价对象开发程度</t>
    <phoneticPr fontId="3" type="noConversion"/>
  </si>
  <si>
    <t>七通一平</t>
  </si>
  <si>
    <t>一致</t>
  </si>
  <si>
    <t>上浮比率</t>
    <phoneticPr fontId="3" type="noConversion"/>
  </si>
  <si>
    <t>级别平均容积率</t>
    <phoneticPr fontId="3" type="noConversion"/>
  </si>
  <si>
    <t>级别开发程度</t>
    <phoneticPr fontId="3" type="noConversion"/>
  </si>
  <si>
    <t>对应的开发费</t>
    <phoneticPr fontId="3" type="noConversion"/>
  </si>
  <si>
    <t>土地还原率</t>
    <phoneticPr fontId="3" type="noConversion"/>
  </si>
  <si>
    <t>2.</t>
    <phoneticPr fontId="3" type="noConversion"/>
  </si>
  <si>
    <t>用途修正系数</t>
    <phoneticPr fontId="3" type="noConversion"/>
  </si>
  <si>
    <t>3.</t>
    <phoneticPr fontId="3" type="noConversion"/>
  </si>
  <si>
    <t>期日修正指数</t>
    <phoneticPr fontId="3" type="noConversion"/>
  </si>
  <si>
    <t>基准期日</t>
    <phoneticPr fontId="3" type="noConversion"/>
  </si>
  <si>
    <t>估价期日</t>
    <phoneticPr fontId="3" type="noConversion"/>
  </si>
  <si>
    <t>按公示增长率计算</t>
  </si>
  <si>
    <t>基准日地价指数</t>
    <phoneticPr fontId="3" type="noConversion"/>
  </si>
  <si>
    <t>相差季度数</t>
    <phoneticPr fontId="3" type="noConversion"/>
  </si>
  <si>
    <t>4.</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</si>
  <si>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</si>
  <si>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</si>
  <si>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</si>
  <si>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</si>
  <si>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所在季度地价指数</t>
    <phoneticPr fontId="3" type="noConversion"/>
  </si>
  <si>
    <t>季度增幅</t>
    <phoneticPr fontId="3" type="noConversion"/>
  </si>
  <si>
    <t>自定义涨幅</t>
    <phoneticPr fontId="3" type="noConversion"/>
  </si>
  <si>
    <t>平均季度增幅（公示）</t>
    <phoneticPr fontId="3" type="noConversion"/>
  </si>
  <si>
    <t>5.</t>
    <phoneticPr fontId="3" type="noConversion"/>
  </si>
  <si>
    <t>容积率修正</t>
  </si>
  <si>
    <t>商业</t>
    <phoneticPr fontId="3" type="noConversion"/>
  </si>
  <si>
    <t>（1）</t>
    <phoneticPr fontId="3" type="noConversion"/>
  </si>
  <si>
    <t>容积率修正系数</t>
    <phoneticPr fontId="3" type="noConversion"/>
  </si>
  <si>
    <r>
      <t>R</t>
    </r>
    <r>
      <rPr>
        <sz val="11"/>
        <rFont val="楷体_GB2312"/>
        <family val="3"/>
        <charset val="134"/>
      </rPr>
      <t>≤</t>
    </r>
    <r>
      <rPr>
        <sz val="11"/>
        <rFont val="Arial"/>
        <family val="2"/>
      </rPr>
      <t>10</t>
    </r>
    <phoneticPr fontId="3" type="noConversion"/>
  </si>
  <si>
    <t>R&gt;10</t>
    <phoneticPr fontId="3" type="noConversion"/>
  </si>
  <si>
    <t>楼层修正系数（商业）</t>
    <phoneticPr fontId="3" type="noConversion"/>
  </si>
  <si>
    <t>住宅</t>
  </si>
  <si>
    <t>6.</t>
    <phoneticPr fontId="3" type="noConversion"/>
  </si>
  <si>
    <t>因素修正系数</t>
    <phoneticPr fontId="3" type="noConversion"/>
  </si>
  <si>
    <t>7.</t>
    <phoneticPr fontId="3" type="noConversion"/>
  </si>
  <si>
    <t>估算结果</t>
    <phoneticPr fontId="3" type="noConversion"/>
  </si>
  <si>
    <t>综合</t>
    <phoneticPr fontId="3" type="noConversion"/>
  </si>
  <si>
    <t>熟地价</t>
    <phoneticPr fontId="3" type="noConversion"/>
  </si>
  <si>
    <t>政府土地出让收益</t>
    <phoneticPr fontId="3" type="noConversion"/>
  </si>
  <si>
    <t>地上部分</t>
    <phoneticPr fontId="3" type="noConversion"/>
  </si>
  <si>
    <t>单价</t>
    <phoneticPr fontId="3" type="noConversion"/>
  </si>
  <si>
    <t>建筑面积</t>
    <phoneticPr fontId="3" type="noConversion"/>
  </si>
  <si>
    <t>总额</t>
    <phoneticPr fontId="3" type="noConversion"/>
  </si>
  <si>
    <t>地上部分——楼面熟地价</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</si>
  <si>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</si>
  <si>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地上部分——政府土地出让收益</t>
    <phoneticPr fontId="3" type="noConversion"/>
  </si>
  <si>
    <t>政府土地出让收益=楼面熟地价×政府土地出让收益比例</t>
    <phoneticPr fontId="3" type="noConversion"/>
  </si>
  <si>
    <t>地下部分</t>
    <phoneticPr fontId="3" type="noConversion"/>
  </si>
  <si>
    <t>楼面熟地价=适用的基准地价×期日修正系数×年期修正系数×因素修正系数×相应用途地下空间修正系数</t>
    <phoneticPr fontId="3" type="noConversion"/>
  </si>
  <si>
    <t>相应用途地下空间修正系数</t>
  </si>
  <si>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</si>
  <si>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</si>
  <si>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</si>
  <si>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</si>
  <si>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</si>
  <si>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政府土地出让收益比例</t>
    <phoneticPr fontId="3" type="noConversion"/>
  </si>
  <si>
    <t>地下仓储</t>
    <phoneticPr fontId="3" type="noConversion"/>
  </si>
  <si>
    <t>商业/办公/居住</t>
    <phoneticPr fontId="3" type="noConversion"/>
  </si>
  <si>
    <t>地下车库</t>
    <phoneticPr fontId="3" type="noConversion"/>
  </si>
  <si>
    <t>工业</t>
    <phoneticPr fontId="3" type="noConversion"/>
  </si>
  <si>
    <t>结果不可超过《北京市区片基准地价因素总修正幅度表》所列修正幅度；依据估价对象用途调整链接</t>
    <phoneticPr fontId="3" type="noConversion"/>
  </si>
  <si>
    <t>商业</t>
    <phoneticPr fontId="3" type="noConversion"/>
  </si>
  <si>
    <t>影响因素</t>
    <phoneticPr fontId="3" type="noConversion"/>
  </si>
  <si>
    <t>情况说明</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</si>
  <si>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</si>
  <si>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</si>
  <si>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</si>
  <si>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总幅度控制(±)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</si>
  <si>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</si>
  <si>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</si>
  <si>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</si>
  <si>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</si>
  <si>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</si>
  <si>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</si>
  <si>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</si>
  <si>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</si>
  <si>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 xml:space="preserve"> 商业繁华程度</t>
    <phoneticPr fontId="3" type="noConversion"/>
  </si>
  <si>
    <t>较好</t>
  </si>
  <si>
    <t>交通便捷度</t>
    <phoneticPr fontId="3" type="noConversion"/>
  </si>
  <si>
    <t>区域土地利用方向</t>
    <phoneticPr fontId="3" type="noConversion"/>
  </si>
  <si>
    <t>好</t>
  </si>
  <si>
    <t>临街宽度和深度</t>
    <phoneticPr fontId="3" type="noConversion"/>
  </si>
  <si>
    <t>宽度XX米，深度XX米,临街宽度及深度比例较适宜，对土地利用无不利影响</t>
  </si>
  <si>
    <t>临街道路状况</t>
    <phoneticPr fontId="3" type="noConversion"/>
  </si>
  <si>
    <t>宗地形状及可利用程度</t>
    <phoneticPr fontId="3" type="noConversion"/>
  </si>
  <si>
    <t>宗地形状不规则，但对宗地利用影响较小</t>
  </si>
  <si>
    <t>公共服务设施状况</t>
    <phoneticPr fontId="3" type="noConversion"/>
  </si>
  <si>
    <t>基础设施完备状况</t>
    <phoneticPr fontId="3" type="noConversion"/>
  </si>
  <si>
    <t>自然和人文环境状况</t>
    <phoneticPr fontId="3" type="noConversion"/>
  </si>
  <si>
    <t>影响因素</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</si>
  <si>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</si>
  <si>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</si>
  <si>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</si>
  <si>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</si>
  <si>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</si>
  <si>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</si>
  <si>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</si>
  <si>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</si>
  <si>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</si>
  <si>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</si>
  <si>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</si>
  <si>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</si>
  <si>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办公集聚程度</t>
    <phoneticPr fontId="3" type="noConversion"/>
  </si>
  <si>
    <t>交通便捷度</t>
    <phoneticPr fontId="3" type="noConversion"/>
  </si>
  <si>
    <t>区域土地利用方向</t>
    <phoneticPr fontId="3" type="noConversion"/>
  </si>
  <si>
    <t>临街宽度和深度</t>
    <phoneticPr fontId="3" type="noConversion"/>
  </si>
  <si>
    <t>宽度XX米，深度XX米,临街宽度及深度比例较适宜，对土地利用无不利影响</t>
    <phoneticPr fontId="3" type="noConversion"/>
  </si>
  <si>
    <t>临街道路状况</t>
    <phoneticPr fontId="3" type="noConversion"/>
  </si>
  <si>
    <t>宗地形状及可利用程度</t>
    <phoneticPr fontId="3" type="noConversion"/>
  </si>
  <si>
    <t>公共服务设施状况</t>
    <phoneticPr fontId="3" type="noConversion"/>
  </si>
  <si>
    <t>居住社区成熟度</t>
    <phoneticPr fontId="3" type="noConversion"/>
  </si>
  <si>
    <t>临路状况</t>
    <phoneticPr fontId="3" type="noConversion"/>
  </si>
  <si>
    <t>与区域中心的接近程度</t>
    <phoneticPr fontId="3" type="noConversion"/>
  </si>
  <si>
    <t>临近区域中心，距离小于500米</t>
  </si>
  <si>
    <t>产业集聚程度</t>
    <phoneticPr fontId="3" type="noConversion"/>
  </si>
  <si>
    <t>一般</t>
  </si>
  <si>
    <t>环境状况</t>
    <phoneticPr fontId="3" type="noConversion"/>
  </si>
  <si>
    <t>北京市基准地价商业用途楼层修正系数表</t>
    <phoneticPr fontId="3" type="noConversion"/>
  </si>
  <si>
    <t>所在楼层</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</si>
  <si>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</si>
  <si>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</si>
  <si>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</si>
  <si>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说明：R为宗地地上容积率</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</si>
  <si>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</si>
  <si>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</si>
  <si>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t>用途</t>
    <phoneticPr fontId="3" type="noConversion"/>
  </si>
  <si>
    <t>土地级别</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</si>
  <si>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</si>
  <si>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</si>
  <si>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</si>
  <si>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</si>
  <si>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</si>
  <si>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</si>
  <si>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</si>
  <si>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</si>
  <si>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</si>
  <si>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十二级</t>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</si>
  <si>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</si>
  <si>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</si>
  <si>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t>住宅</t>
    <phoneticPr fontId="3" type="noConversion"/>
  </si>
  <si>
    <r>
      <rPr>
        <sz val="10"/>
        <rFont val="楷体_GB2312"/>
        <family val="3"/>
        <charset val="134"/>
      </rPr>
      <t>工业</t>
    </r>
    <phoneticPr fontId="3" type="noConversion"/>
  </si>
  <si>
    <t>北京国锐房地产开发有限公司</t>
    <phoneticPr fontId="6" type="noConversion"/>
  </si>
  <si>
    <t>工行</t>
    <phoneticPr fontId="6" type="noConversion"/>
  </si>
  <si>
    <t>商业、办公、库房</t>
    <phoneticPr fontId="6" type="noConversion"/>
  </si>
  <si>
    <t>否</t>
  </si>
  <si>
    <t>在建</t>
  </si>
  <si>
    <t>Ⅵ-亦1</t>
  </si>
  <si>
    <t>地上</t>
  </si>
  <si>
    <t>地下</t>
  </si>
  <si>
    <t>仓储</t>
  </si>
  <si>
    <t>部位及房号</t>
  </si>
  <si>
    <t>其               中</t>
  </si>
  <si>
    <t>备      注</t>
  </si>
  <si>
    <t>-3层(-3)</t>
  </si>
  <si>
    <t>-301</t>
  </si>
  <si>
    <t>94.39</t>
  </si>
  <si>
    <t>52.82</t>
  </si>
  <si>
    <t>-302</t>
  </si>
  <si>
    <t>219.94</t>
  </si>
  <si>
    <t>123.09</t>
  </si>
  <si>
    <t>-303</t>
  </si>
  <si>
    <t>35.22</t>
  </si>
  <si>
    <t>19.71</t>
  </si>
  <si>
    <t>-304</t>
  </si>
  <si>
    <t>33.29</t>
  </si>
  <si>
    <t>18.63</t>
  </si>
  <si>
    <t>-305</t>
  </si>
  <si>
    <t>-306</t>
  </si>
  <si>
    <t>25.70</t>
  </si>
  <si>
    <t>14.38</t>
  </si>
  <si>
    <t>-307</t>
  </si>
  <si>
    <t>17.04</t>
  </si>
  <si>
    <t>9.54</t>
  </si>
  <si>
    <t>-308</t>
  </si>
  <si>
    <t>96.08</t>
  </si>
  <si>
    <t>53.77</t>
  </si>
  <si>
    <t>-309</t>
  </si>
  <si>
    <t>27.19</t>
  </si>
  <si>
    <t>15.22</t>
  </si>
  <si>
    <t>-310</t>
  </si>
  <si>
    <t>-311</t>
  </si>
  <si>
    <t>113.11</t>
  </si>
  <si>
    <t>63.30</t>
  </si>
  <si>
    <t>-2层(-2)</t>
  </si>
  <si>
    <t>-201</t>
  </si>
  <si>
    <t>174.10</t>
  </si>
  <si>
    <t>97.43</t>
  </si>
  <si>
    <t>-202</t>
  </si>
  <si>
    <t>125.56</t>
  </si>
  <si>
    <t>70.27</t>
  </si>
  <si>
    <t>-203</t>
  </si>
  <si>
    <t>-204</t>
  </si>
  <si>
    <t>-205</t>
  </si>
  <si>
    <t>-206</t>
  </si>
  <si>
    <t>-207</t>
  </si>
  <si>
    <t>177.08</t>
  </si>
  <si>
    <t>99.10</t>
  </si>
  <si>
    <t>-208</t>
  </si>
  <si>
    <t>-209</t>
  </si>
  <si>
    <t>-210</t>
  </si>
  <si>
    <t>106.10</t>
  </si>
  <si>
    <t>59.38</t>
  </si>
  <si>
    <t>-1层(-1)</t>
  </si>
  <si>
    <t>-101</t>
  </si>
  <si>
    <t>2509.52</t>
  </si>
  <si>
    <t>1447.63</t>
  </si>
  <si>
    <t>1层(01)</t>
  </si>
  <si>
    <t>101</t>
  </si>
  <si>
    <t>202.91</t>
  </si>
  <si>
    <t>91.66</t>
  </si>
  <si>
    <t>102</t>
  </si>
  <si>
    <t>81.51</t>
  </si>
  <si>
    <t>36.82</t>
  </si>
  <si>
    <t>103</t>
  </si>
  <si>
    <t>115.35</t>
  </si>
  <si>
    <t>52.11</t>
  </si>
  <si>
    <t>104</t>
  </si>
  <si>
    <t>120.15</t>
  </si>
  <si>
    <t>54.28</t>
  </si>
  <si>
    <t>105</t>
  </si>
  <si>
    <t>74.94</t>
  </si>
  <si>
    <t>33.85</t>
  </si>
  <si>
    <t>106</t>
  </si>
  <si>
    <t>177.27</t>
  </si>
  <si>
    <t>80.08</t>
  </si>
  <si>
    <t>01夹层(00)</t>
  </si>
  <si>
    <t>107</t>
  </si>
  <si>
    <t>333.14</t>
  </si>
  <si>
    <t>150.50</t>
  </si>
  <si>
    <t>108</t>
  </si>
  <si>
    <t>324.32</t>
  </si>
  <si>
    <t>146.51</t>
  </si>
  <si>
    <t>2层(02)</t>
  </si>
  <si>
    <t>201</t>
  </si>
  <si>
    <t>97.74</t>
  </si>
  <si>
    <t>44.15</t>
  </si>
  <si>
    <t>202</t>
  </si>
  <si>
    <t>53.25</t>
  </si>
  <si>
    <t>24.06</t>
  </si>
  <si>
    <t>203</t>
  </si>
  <si>
    <t>120.88</t>
  </si>
  <si>
    <t>54.61</t>
  </si>
  <si>
    <t>204</t>
  </si>
  <si>
    <t>192.30</t>
  </si>
  <si>
    <t>86.87</t>
  </si>
  <si>
    <t>205</t>
  </si>
  <si>
    <t>206</t>
  </si>
  <si>
    <t>207</t>
  </si>
  <si>
    <t>51.63</t>
  </si>
  <si>
    <t>23.32</t>
  </si>
  <si>
    <t>208</t>
  </si>
  <si>
    <t>209</t>
  </si>
  <si>
    <t>210</t>
  </si>
  <si>
    <t>3层(03)</t>
  </si>
  <si>
    <t>301</t>
  </si>
  <si>
    <t>302</t>
  </si>
  <si>
    <t>303</t>
  </si>
  <si>
    <t>304</t>
  </si>
  <si>
    <t>305</t>
  </si>
  <si>
    <t>306</t>
  </si>
  <si>
    <t>307</t>
  </si>
  <si>
    <t>308</t>
  </si>
  <si>
    <t>309</t>
  </si>
  <si>
    <t>310</t>
  </si>
  <si>
    <t>4层(04)</t>
  </si>
  <si>
    <t>401</t>
  </si>
  <si>
    <t>98.52</t>
  </si>
  <si>
    <t>44.51</t>
  </si>
  <si>
    <t>402</t>
  </si>
  <si>
    <t>53.43</t>
  </si>
  <si>
    <t>24.14</t>
  </si>
  <si>
    <t>403</t>
  </si>
  <si>
    <t>122.08</t>
  </si>
  <si>
    <t>55.15</t>
  </si>
  <si>
    <t>404</t>
  </si>
  <si>
    <t>194.46</t>
  </si>
  <si>
    <t>87.85</t>
  </si>
  <si>
    <t>405</t>
  </si>
  <si>
    <t>406</t>
  </si>
  <si>
    <t>407</t>
  </si>
  <si>
    <t>51.65</t>
  </si>
  <si>
    <t>23.33</t>
  </si>
  <si>
    <t>408</t>
  </si>
  <si>
    <t>409</t>
  </si>
  <si>
    <t>410</t>
  </si>
  <si>
    <t>5层(05)</t>
  </si>
  <si>
    <t>501</t>
  </si>
  <si>
    <t>502</t>
  </si>
  <si>
    <t>503</t>
  </si>
  <si>
    <t>504</t>
  </si>
  <si>
    <t>505</t>
  </si>
  <si>
    <t>506</t>
  </si>
  <si>
    <t>507</t>
  </si>
  <si>
    <t>508</t>
  </si>
  <si>
    <t>509</t>
  </si>
  <si>
    <t>510</t>
  </si>
  <si>
    <t>6层(06)</t>
  </si>
  <si>
    <t>601</t>
  </si>
  <si>
    <t>602</t>
  </si>
  <si>
    <t>603</t>
  </si>
  <si>
    <t>604</t>
  </si>
  <si>
    <t>605</t>
  </si>
  <si>
    <t>606</t>
  </si>
  <si>
    <t>607</t>
  </si>
  <si>
    <t>608</t>
  </si>
  <si>
    <t>609</t>
  </si>
  <si>
    <t>610</t>
  </si>
  <si>
    <t>7层(07)</t>
  </si>
  <si>
    <t>701</t>
  </si>
  <si>
    <t>702</t>
  </si>
  <si>
    <t>703</t>
  </si>
  <si>
    <t>704</t>
  </si>
  <si>
    <t>705</t>
  </si>
  <si>
    <t>706</t>
  </si>
  <si>
    <t>707</t>
  </si>
  <si>
    <t>708</t>
  </si>
  <si>
    <t>709</t>
  </si>
  <si>
    <t>710</t>
  </si>
  <si>
    <t>8层(08)</t>
  </si>
  <si>
    <t>801</t>
  </si>
  <si>
    <t>99.28</t>
  </si>
  <si>
    <t>44.85</t>
  </si>
  <si>
    <t>802</t>
  </si>
  <si>
    <t>53.59</t>
  </si>
  <si>
    <t>24.21</t>
  </si>
  <si>
    <t>803</t>
  </si>
  <si>
    <t>123.28</t>
  </si>
  <si>
    <t>55.69</t>
  </si>
  <si>
    <t>804</t>
  </si>
  <si>
    <t>196.62</t>
  </si>
  <si>
    <t>88.82</t>
  </si>
  <si>
    <t>805</t>
  </si>
  <si>
    <t>806</t>
  </si>
  <si>
    <t>807</t>
  </si>
  <si>
    <t>51.66</t>
  </si>
  <si>
    <t>23.34</t>
  </si>
  <si>
    <t>808</t>
  </si>
  <si>
    <t>809</t>
  </si>
  <si>
    <t>810</t>
  </si>
  <si>
    <t>9层(09)</t>
  </si>
  <si>
    <t>901</t>
  </si>
  <si>
    <t>902</t>
  </si>
  <si>
    <t>903</t>
  </si>
  <si>
    <t>904</t>
  </si>
  <si>
    <t>905</t>
  </si>
  <si>
    <t>906</t>
  </si>
  <si>
    <t>907</t>
  </si>
  <si>
    <t>908</t>
  </si>
  <si>
    <t>909</t>
  </si>
  <si>
    <t>910</t>
  </si>
  <si>
    <t>10层(10)</t>
  </si>
  <si>
    <t>1001</t>
  </si>
  <si>
    <t>1002</t>
  </si>
  <si>
    <t>1003</t>
  </si>
  <si>
    <t>1004</t>
  </si>
  <si>
    <t>1005</t>
  </si>
  <si>
    <t>1006</t>
  </si>
  <si>
    <t>1007</t>
  </si>
  <si>
    <t>1008</t>
  </si>
  <si>
    <t>1009</t>
  </si>
  <si>
    <t>1010</t>
  </si>
  <si>
    <t>11层(11)</t>
  </si>
  <si>
    <t>1101</t>
  </si>
  <si>
    <t>1102</t>
  </si>
  <si>
    <t>1103</t>
  </si>
  <si>
    <t>1104</t>
  </si>
  <si>
    <t>1105</t>
  </si>
  <si>
    <t>1106</t>
  </si>
  <si>
    <t>1107</t>
  </si>
  <si>
    <t>1108</t>
  </si>
  <si>
    <t>1109</t>
  </si>
  <si>
    <t>1110</t>
  </si>
  <si>
    <t>12夹层(00)</t>
  </si>
  <si>
    <t>1201</t>
  </si>
  <si>
    <t>24.87</t>
  </si>
  <si>
    <t>11.23</t>
  </si>
  <si>
    <t>1202</t>
  </si>
  <si>
    <t>371.71</t>
  </si>
  <si>
    <t>167.92</t>
  </si>
  <si>
    <t>1203</t>
  </si>
  <si>
    <t>59.78</t>
  </si>
  <si>
    <t>27.01</t>
  </si>
  <si>
    <t>13层(13)</t>
  </si>
  <si>
    <t>1301</t>
  </si>
  <si>
    <t>303.28</t>
  </si>
  <si>
    <t>137.01</t>
  </si>
  <si>
    <t>1302</t>
  </si>
  <si>
    <t>382.22</t>
  </si>
  <si>
    <t>172.67</t>
  </si>
  <si>
    <t>1303</t>
  </si>
  <si>
    <t>335.83</t>
  </si>
  <si>
    <t>151.71</t>
  </si>
  <si>
    <t>1304</t>
  </si>
  <si>
    <t>299.91</t>
  </si>
  <si>
    <t>135.48</t>
  </si>
  <si>
    <t>14层(14)</t>
  </si>
  <si>
    <t>1401</t>
  </si>
  <si>
    <t>1402</t>
  </si>
  <si>
    <t>1403</t>
  </si>
  <si>
    <t>1404</t>
  </si>
  <si>
    <t>15层(15)</t>
  </si>
  <si>
    <t>1501</t>
  </si>
  <si>
    <t>1502</t>
  </si>
  <si>
    <t>1503</t>
  </si>
  <si>
    <t>1504</t>
  </si>
  <si>
    <t>16层(16)</t>
  </si>
  <si>
    <t>1601</t>
  </si>
  <si>
    <t>1602</t>
  </si>
  <si>
    <t>1603</t>
  </si>
  <si>
    <t>1604</t>
  </si>
  <si>
    <t>17层(17)</t>
  </si>
  <si>
    <t>1701</t>
  </si>
  <si>
    <t>304.40</t>
  </si>
  <si>
    <t>137.51</t>
  </si>
  <si>
    <t>1702</t>
  </si>
  <si>
    <t>383.69</t>
  </si>
  <si>
    <t>173.33</t>
  </si>
  <si>
    <t>1703</t>
  </si>
  <si>
    <t>336.46</t>
  </si>
  <si>
    <t>152.00</t>
  </si>
  <si>
    <t>1704</t>
  </si>
  <si>
    <t>301.44</t>
  </si>
  <si>
    <t>136.17</t>
  </si>
  <si>
    <t>18层(18)</t>
  </si>
  <si>
    <t>1801</t>
  </si>
  <si>
    <t>1802</t>
  </si>
  <si>
    <t>1803</t>
  </si>
  <si>
    <t>1804</t>
  </si>
  <si>
    <t>19层(19)</t>
  </si>
  <si>
    <t>1901</t>
  </si>
  <si>
    <t>1902</t>
  </si>
  <si>
    <t>1903</t>
  </si>
  <si>
    <t>1904</t>
  </si>
  <si>
    <t>20层(20)</t>
  </si>
  <si>
    <t>2001</t>
  </si>
  <si>
    <t>2002</t>
  </si>
  <si>
    <t>2003</t>
  </si>
  <si>
    <t>2004</t>
  </si>
  <si>
    <t>21层(21)</t>
  </si>
  <si>
    <t>2101</t>
  </si>
  <si>
    <t>2102</t>
  </si>
  <si>
    <t>2103</t>
  </si>
  <si>
    <t>2104</t>
  </si>
  <si>
    <t>22层(22)</t>
  </si>
  <si>
    <t>2201</t>
  </si>
  <si>
    <t>2202</t>
  </si>
  <si>
    <t>2203</t>
  </si>
  <si>
    <t>2204</t>
  </si>
  <si>
    <t>24层(24)</t>
  </si>
  <si>
    <t>2401</t>
  </si>
  <si>
    <t>629.57</t>
  </si>
  <si>
    <t>284.41</t>
  </si>
  <si>
    <t>2402</t>
  </si>
  <si>
    <t>801.14</t>
  </si>
  <si>
    <t>361.91</t>
  </si>
  <si>
    <t>25层(25)</t>
  </si>
  <si>
    <t>2501</t>
  </si>
  <si>
    <t>2502</t>
  </si>
  <si>
    <t>26层(26)</t>
  </si>
  <si>
    <t>2601</t>
  </si>
  <si>
    <t>631.70</t>
  </si>
  <si>
    <t>285.37</t>
  </si>
  <si>
    <t>2602</t>
  </si>
  <si>
    <t>803.14</t>
  </si>
  <si>
    <t>362.82</t>
  </si>
  <si>
    <t>27层(27)</t>
  </si>
  <si>
    <t>2701</t>
  </si>
  <si>
    <t>2702</t>
  </si>
  <si>
    <t>28层(28)</t>
  </si>
  <si>
    <t>2801</t>
  </si>
  <si>
    <t>2802</t>
  </si>
  <si>
    <t>29层(29)</t>
  </si>
  <si>
    <t>2901</t>
  </si>
  <si>
    <t>633.61</t>
  </si>
  <si>
    <t>286.23</t>
  </si>
  <si>
    <t>2902</t>
  </si>
  <si>
    <t>804.71</t>
  </si>
  <si>
    <t>363.53</t>
  </si>
  <si>
    <t>30层(30)</t>
  </si>
  <si>
    <t>3001</t>
  </si>
  <si>
    <t>3002</t>
  </si>
  <si>
    <t>31层(31)</t>
  </si>
  <si>
    <t>3101</t>
  </si>
  <si>
    <t>3102</t>
  </si>
  <si>
    <t>32层(32)</t>
  </si>
  <si>
    <t>3201</t>
  </si>
  <si>
    <t>3202</t>
  </si>
  <si>
    <t>33层(33)</t>
  </si>
  <si>
    <t>3301</t>
  </si>
  <si>
    <t>3302</t>
  </si>
  <si>
    <t>34层(34)</t>
  </si>
  <si>
    <t>3401</t>
  </si>
  <si>
    <t>258.32</t>
  </si>
  <si>
    <t>116.70</t>
  </si>
  <si>
    <t>35层(35)</t>
  </si>
  <si>
    <t>3501</t>
  </si>
  <si>
    <t>2399.97</t>
  </si>
  <si>
    <t>1084.18</t>
  </si>
  <si>
    <t>四、房屋建筑面积分户计算明晰表（表 4）</t>
  </si>
  <si>
    <t>项目名称： A座办公楼(综合商务设施项目(国锐广场)) 楼号：A座办公楼</t>
  </si>
  <si>
    <t>建筑面积</t>
  </si>
  <si>
    <t>共有共用面积分摊系数</t>
  </si>
  <si>
    <t>套内建筑面积（含阳台）</t>
  </si>
  <si>
    <t>阳台建筑面积</t>
  </si>
  <si>
    <t>分摊的共有共用建筑面积</t>
  </si>
  <si>
    <t>本页小计</t>
  </si>
  <si>
    <t>总  计</t>
  </si>
  <si>
    <t>楼层</t>
    <phoneticPr fontId="143" type="noConversion"/>
  </si>
  <si>
    <t>面积</t>
    <phoneticPr fontId="143" type="noConversion"/>
  </si>
  <si>
    <r>
      <t>地下3</t>
    </r>
    <r>
      <rPr>
        <sz val="11"/>
        <color theme="1"/>
        <rFont val="宋体"/>
        <family val="3"/>
        <charset val="134"/>
        <scheme val="minor"/>
      </rPr>
      <t>层</t>
    </r>
    <phoneticPr fontId="143" type="noConversion"/>
  </si>
  <si>
    <t>地下2层</t>
    <phoneticPr fontId="143" type="noConversion"/>
  </si>
  <si>
    <t>地下1层</t>
    <phoneticPr fontId="143" type="noConversion"/>
  </si>
  <si>
    <t>1层</t>
  </si>
  <si>
    <t>1层</t>
    <phoneticPr fontId="143" type="noConversion"/>
  </si>
  <si>
    <t>32层</t>
  </si>
  <si>
    <t>33层</t>
  </si>
  <si>
    <t>34层</t>
  </si>
  <si>
    <t>35层</t>
  </si>
  <si>
    <t>用途</t>
    <phoneticPr fontId="143" type="noConversion"/>
  </si>
  <si>
    <t>库房</t>
    <phoneticPr fontId="143" type="noConversion"/>
  </si>
  <si>
    <t>餐厅</t>
    <phoneticPr fontId="143" type="noConversion"/>
  </si>
  <si>
    <t>商业</t>
    <phoneticPr fontId="143" type="noConversion"/>
  </si>
  <si>
    <t>办公</t>
    <phoneticPr fontId="143" type="noConversion"/>
  </si>
  <si>
    <t>合计</t>
    <phoneticPr fontId="143" type="noConversion"/>
  </si>
  <si>
    <t>各用途面积合计</t>
    <phoneticPr fontId="143" type="noConversion"/>
  </si>
  <si>
    <t>商业</t>
    <phoneticPr fontId="143" type="noConversion"/>
  </si>
  <si>
    <t>办公</t>
    <phoneticPr fontId="143" type="noConversion"/>
  </si>
  <si>
    <t>餐厅</t>
    <phoneticPr fontId="143" type="noConversion"/>
  </si>
  <si>
    <t>库房</t>
    <phoneticPr fontId="143" type="noConversion"/>
  </si>
  <si>
    <t>合计</t>
    <phoneticPr fontId="143" type="noConversion"/>
  </si>
  <si>
    <t>房屋面积明细表（依据测绘报告）</t>
    <phoneticPr fontId="143" type="noConversion"/>
  </si>
  <si>
    <t>地上商业</t>
    <phoneticPr fontId="3" type="noConversion"/>
  </si>
  <si>
    <t>地下仓储</t>
  </si>
  <si>
    <t>地下商业</t>
  </si>
  <si>
    <t>地下商业</t>
    <phoneticPr fontId="3" type="noConversion"/>
  </si>
  <si>
    <t>办公</t>
    <phoneticPr fontId="7" type="noConversion"/>
  </si>
  <si>
    <t>商业</t>
    <phoneticPr fontId="7" type="noConversion"/>
  </si>
  <si>
    <t>地下商业</t>
    <phoneticPr fontId="7" type="noConversion"/>
  </si>
  <si>
    <t>地下仓储</t>
    <phoneticPr fontId="7" type="noConversion"/>
  </si>
  <si>
    <t>办公</t>
    <phoneticPr fontId="3" type="noConversion"/>
  </si>
  <si>
    <t>仓储</t>
    <phoneticPr fontId="3" type="noConversion"/>
  </si>
  <si>
    <t>收益法仓储</t>
  </si>
  <si>
    <t>收益法仓储</t>
    <phoneticPr fontId="16" type="noConversion"/>
  </si>
  <si>
    <t>收益法办公</t>
  </si>
  <si>
    <t>收益法办公</t>
    <phoneticPr fontId="16" type="noConversion"/>
  </si>
  <si>
    <t>收益法商业</t>
  </si>
  <si>
    <t>收益法商业</t>
    <phoneticPr fontId="16" type="noConversion"/>
  </si>
  <si>
    <t>钢混</t>
  </si>
  <si>
    <t>非生产用房</t>
  </si>
  <si>
    <t>已全部缴纳</t>
  </si>
  <si>
    <t>工程进度</t>
  </si>
  <si>
    <t>全部缴纳</t>
  </si>
  <si>
    <t>项目全部</t>
  </si>
  <si>
    <t>成本法</t>
  </si>
  <si>
    <t>假设开发法</t>
  </si>
  <si>
    <t>周边商业氛围成熟，人流量大，商业繁华度好</t>
    <phoneticPr fontId="25" type="noConversion"/>
  </si>
  <si>
    <t>周边办公楼项目较多，入驻率高，办公集聚程度好</t>
    <phoneticPr fontId="25" type="noConversion"/>
  </si>
  <si>
    <t>周边道路状况好、公共交通通达情况好、停车便捷，综合评价交通便捷度好</t>
    <phoneticPr fontId="41" type="noConversion"/>
  </si>
  <si>
    <t>估价对象所在区域公共配套设施齐备</t>
    <phoneticPr fontId="41" type="noConversion"/>
  </si>
  <si>
    <t>估价对象所在区域基础设施水平七通</t>
    <phoneticPr fontId="25" type="noConversion"/>
  </si>
  <si>
    <t>比较法</t>
    <phoneticPr fontId="3" type="noConversion"/>
  </si>
  <si>
    <t>售价</t>
  </si>
  <si>
    <t>录入顺序：主表的空白区域-因素表空白区域-主表黄色选项区域-调节修正幅度-完成</t>
    <phoneticPr fontId="3" type="noConversion"/>
  </si>
  <si>
    <t>总价</t>
    <phoneticPr fontId="3" type="noConversion"/>
  </si>
  <si>
    <t>万元</t>
    <phoneticPr fontId="3" type="noConversion"/>
  </si>
  <si>
    <t>收益法</t>
  </si>
  <si>
    <t>楼面单价</t>
    <phoneticPr fontId="3" type="noConversion"/>
  </si>
  <si>
    <t>建筑面积</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</si>
  <si>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</si>
  <si>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</si>
  <si>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</si>
  <si>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</si>
  <si>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</si>
  <si>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</si>
  <si>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</si>
  <si>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</si>
  <si>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</si>
  <si>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</si>
  <si>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</si>
  <si>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</si>
  <si>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</si>
  <si>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</si>
  <si>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权益状况</t>
    <phoneticPr fontId="3" type="noConversion"/>
  </si>
  <si>
    <t>土地使用年限（年）</t>
    <phoneticPr fontId="3" type="noConversion"/>
  </si>
  <si>
    <t>30-40（含）</t>
  </si>
  <si>
    <t>容积率</t>
    <phoneticPr fontId="3" type="noConversion"/>
  </si>
  <si>
    <t>区位状况</t>
    <phoneticPr fontId="3" type="noConversion"/>
  </si>
  <si>
    <t>交通便捷度</t>
  </si>
  <si>
    <t>公共配套设施</t>
    <phoneticPr fontId="3" type="noConversion"/>
  </si>
  <si>
    <t>基础设施水平</t>
    <phoneticPr fontId="3" type="noConversion"/>
  </si>
  <si>
    <t>七通</t>
  </si>
  <si>
    <t>单面临街</t>
  </si>
  <si>
    <t>较大</t>
  </si>
  <si>
    <t>楼层</t>
    <phoneticPr fontId="3" type="noConversion"/>
  </si>
  <si>
    <t>实物状况</t>
    <phoneticPr fontId="3" type="noConversion"/>
  </si>
  <si>
    <t>项目建筑规模</t>
  </si>
  <si>
    <t>建筑结构</t>
  </si>
  <si>
    <t>公共部分装修</t>
    <phoneticPr fontId="3" type="noConversion"/>
  </si>
  <si>
    <t>精装修</t>
  </si>
  <si>
    <t>成新度</t>
    <phoneticPr fontId="3" type="noConversion"/>
  </si>
  <si>
    <t>不可餐饮</t>
  </si>
  <si>
    <t>标准层高</t>
  </si>
  <si>
    <t>较适宜</t>
  </si>
  <si>
    <t>毛坯</t>
  </si>
  <si>
    <t>普通装修</t>
  </si>
  <si>
    <t>内部装修维护情况</t>
  </si>
  <si>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</si>
  <si>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</si>
  <si>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</si>
  <si>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</si>
  <si>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</si>
  <si>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</si>
  <si>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</si>
  <si>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</si>
  <si>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商住</t>
    <phoneticPr fontId="3" type="noConversion"/>
  </si>
  <si>
    <t>土地使用年限（年）</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</si>
  <si>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</si>
  <si>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</si>
  <si>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</si>
  <si>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</si>
  <si>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</si>
  <si>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</si>
  <si>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</si>
  <si>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</si>
  <si>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容积率</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</si>
  <si>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</si>
  <si>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</si>
  <si>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</si>
  <si>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</si>
  <si>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</si>
  <si>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</si>
  <si>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</si>
  <si>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</si>
  <si>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项目建筑规模</t>
    <phoneticPr fontId="3" type="noConversion"/>
  </si>
  <si>
    <t>建筑结构</t>
    <phoneticPr fontId="3" type="noConversion"/>
  </si>
  <si>
    <t>钢结构</t>
    <phoneticPr fontId="3" type="noConversion"/>
  </si>
  <si>
    <t>钢混</t>
    <phoneticPr fontId="3" type="noConversion"/>
  </si>
  <si>
    <t>公共部分装修</t>
    <phoneticPr fontId="3" type="noConversion"/>
  </si>
  <si>
    <t>精装修</t>
    <phoneticPr fontId="3" type="noConversion"/>
  </si>
  <si>
    <t>普通装修</t>
    <phoneticPr fontId="3" type="noConversion"/>
  </si>
  <si>
    <t>简装</t>
    <phoneticPr fontId="3" type="noConversion"/>
  </si>
  <si>
    <t>成新度</t>
    <phoneticPr fontId="3" type="noConversion"/>
  </si>
  <si>
    <t>商业</t>
    <phoneticPr fontId="31" type="noConversion"/>
  </si>
  <si>
    <t>商业</t>
    <phoneticPr fontId="31" type="noConversion"/>
  </si>
  <si>
    <t>区域自然环境好；人文环境好；综合评价环境状况好</t>
    <phoneticPr fontId="41" type="noConversion"/>
  </si>
  <si>
    <t>超高</t>
  </si>
  <si>
    <t>超高</t>
    <phoneticPr fontId="31" type="noConversion"/>
  </si>
  <si>
    <t>标准</t>
  </si>
  <si>
    <t>标准</t>
    <phoneticPr fontId="31" type="noConversion"/>
  </si>
  <si>
    <t>较适宜</t>
    <phoneticPr fontId="31" type="noConversion"/>
  </si>
  <si>
    <t>毛坯</t>
    <phoneticPr fontId="31" type="noConversion"/>
  </si>
  <si>
    <t>精装</t>
  </si>
  <si>
    <t>精装</t>
    <phoneticPr fontId="31" type="noConversion"/>
  </si>
  <si>
    <t>普装</t>
  </si>
  <si>
    <t>普装</t>
    <phoneticPr fontId="31" type="noConversion"/>
  </si>
  <si>
    <t>简装</t>
  </si>
  <si>
    <t>简装</t>
    <phoneticPr fontId="31" type="noConversion"/>
  </si>
  <si>
    <t>可餐饮</t>
  </si>
  <si>
    <t>可餐饮</t>
    <phoneticPr fontId="31" type="noConversion"/>
  </si>
  <si>
    <t>不可餐饮</t>
    <phoneticPr fontId="31" type="noConversion"/>
  </si>
  <si>
    <t>七通</t>
    <phoneticPr fontId="31" type="noConversion"/>
  </si>
  <si>
    <t>钢混</t>
    <phoneticPr fontId="31" type="noConversion"/>
  </si>
  <si>
    <t>大型商业综合体</t>
    <phoneticPr fontId="31" type="noConversion"/>
  </si>
  <si>
    <t>独栋商业</t>
    <phoneticPr fontId="31" type="noConversion"/>
  </si>
  <si>
    <t>临街商铺</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</si>
  <si>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</si>
  <si>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</si>
  <si>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</si>
  <si>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</si>
  <si>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</si>
  <si>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</si>
  <si>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</si>
  <si>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</si>
  <si>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</si>
  <si>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</si>
  <si>
    <t>大</t>
    <phoneticPr fontId="31" type="noConversion"/>
  </si>
  <si>
    <t>较大</t>
    <phoneticPr fontId="31" type="noConversion"/>
  </si>
  <si>
    <t>一般</t>
    <phoneticPr fontId="31" type="noConversion"/>
  </si>
  <si>
    <r>
      <t>1</t>
    </r>
    <r>
      <rPr>
        <sz val="11"/>
        <color indexed="8"/>
        <rFont val="宋体"/>
        <family val="3"/>
        <charset val="134"/>
      </rPr>
      <t>层</t>
    </r>
    <phoneticPr fontId="31" type="noConversion"/>
  </si>
  <si>
    <t>写字楼底商</t>
  </si>
  <si>
    <t>写字楼底商</t>
    <phoneticPr fontId="31" type="noConversion"/>
  </si>
  <si>
    <t>住宅底商</t>
  </si>
  <si>
    <t>住宅底商</t>
    <phoneticPr fontId="31" type="noConversion"/>
  </si>
  <si>
    <t>较好</t>
    <phoneticPr fontId="31" type="noConversion"/>
  </si>
  <si>
    <t>商业用房修正表</t>
    <phoneticPr fontId="143" type="noConversion"/>
  </si>
  <si>
    <t>楼层</t>
    <phoneticPr fontId="143" type="noConversion"/>
  </si>
  <si>
    <t>修正系数</t>
    <phoneticPr fontId="143" type="noConversion"/>
  </si>
  <si>
    <t>单价</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</si>
  <si>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</si>
  <si>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</si>
  <si>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</si>
  <si>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建筑面积</t>
    <phoneticPr fontId="143" type="noConversion"/>
  </si>
  <si>
    <t>总价</t>
    <phoneticPr fontId="143" type="noConversion"/>
  </si>
  <si>
    <t>商业案例</t>
    <phoneticPr fontId="143" type="noConversion"/>
  </si>
  <si>
    <t>办公案例</t>
    <phoneticPr fontId="143" type="noConversion"/>
  </si>
  <si>
    <r>
      <rPr>
        <sz val="11"/>
        <color indexed="8"/>
        <rFont val="楷体_GB2312"/>
        <family val="3"/>
        <charset val="134"/>
      </rPr>
      <t>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</si>
  <si>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</si>
  <si>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</si>
  <si>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</si>
  <si>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内部装修维护情况</t>
    <phoneticPr fontId="3" type="noConversion"/>
  </si>
  <si>
    <t>毛坯</t>
    <phoneticPr fontId="3" type="noConversion"/>
  </si>
  <si>
    <t>简装</t>
    <phoneticPr fontId="3" type="noConversion"/>
  </si>
  <si>
    <t>普通装修</t>
    <phoneticPr fontId="3" type="noConversion"/>
  </si>
  <si>
    <t>精装修</t>
    <phoneticPr fontId="3" type="noConversion"/>
  </si>
  <si>
    <t>内部装修</t>
    <phoneticPr fontId="3" type="noConversion"/>
  </si>
  <si>
    <t>400-500</t>
    <phoneticPr fontId="3" type="noConversion"/>
  </si>
  <si>
    <t>300-400</t>
    <phoneticPr fontId="3" type="noConversion"/>
  </si>
  <si>
    <t>200-300</t>
    <phoneticPr fontId="3" type="noConversion"/>
  </si>
  <si>
    <t>100-200</t>
    <phoneticPr fontId="3" type="noConversion"/>
  </si>
  <si>
    <t>单套建筑面积</t>
    <phoneticPr fontId="3" type="noConversion"/>
  </si>
  <si>
    <t>标准层高</t>
    <phoneticPr fontId="3" type="noConversion"/>
  </si>
  <si>
    <t>超高层高</t>
    <phoneticPr fontId="3" type="noConversion"/>
  </si>
  <si>
    <t>层高</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</si>
  <si>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</si>
  <si>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</si>
  <si>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</si>
  <si>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</si>
  <si>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</si>
  <si>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市政基础设施</t>
    <phoneticPr fontId="3" type="noConversion"/>
  </si>
  <si>
    <t>普通</t>
    <phoneticPr fontId="3" type="noConversion"/>
  </si>
  <si>
    <t>专业</t>
    <phoneticPr fontId="3" type="noConversion"/>
  </si>
  <si>
    <t>物业管理</t>
    <phoneticPr fontId="3" type="noConversion"/>
  </si>
  <si>
    <t>丙级</t>
    <phoneticPr fontId="3" type="noConversion"/>
  </si>
  <si>
    <t>乙级</t>
    <phoneticPr fontId="3" type="noConversion"/>
  </si>
  <si>
    <t>甲级</t>
    <phoneticPr fontId="3" type="noConversion"/>
  </si>
  <si>
    <t>写字楼等级</t>
    <phoneticPr fontId="3" type="noConversion"/>
  </si>
  <si>
    <t>毛坯</t>
    <phoneticPr fontId="3" type="noConversion"/>
  </si>
  <si>
    <t>砖混</t>
    <phoneticPr fontId="3" type="noConversion"/>
  </si>
  <si>
    <t>异形建筑</t>
    <phoneticPr fontId="3" type="noConversion"/>
  </si>
  <si>
    <t>标准写字楼</t>
    <phoneticPr fontId="3" type="noConversion"/>
  </si>
  <si>
    <t>低层</t>
    <phoneticPr fontId="3" type="noConversion"/>
  </si>
  <si>
    <t>中高层</t>
    <phoneticPr fontId="3" type="noConversion"/>
  </si>
  <si>
    <t>高层</t>
    <phoneticPr fontId="3" type="noConversion"/>
  </si>
  <si>
    <t>超高层</t>
    <phoneticPr fontId="3" type="noConversion"/>
  </si>
  <si>
    <t>建筑类型</t>
    <phoneticPr fontId="3" type="noConversion"/>
  </si>
  <si>
    <t>实物状况</t>
    <phoneticPr fontId="3" type="noConversion"/>
  </si>
  <si>
    <t>北</t>
    <phoneticPr fontId="3" type="noConversion"/>
  </si>
  <si>
    <t>西</t>
    <phoneticPr fontId="3" type="noConversion"/>
  </si>
  <si>
    <t>南</t>
    <phoneticPr fontId="3" type="noConversion"/>
  </si>
  <si>
    <t>东</t>
    <phoneticPr fontId="3" type="noConversion"/>
  </si>
  <si>
    <t>低区</t>
    <phoneticPr fontId="3" type="noConversion"/>
  </si>
  <si>
    <t>中区</t>
    <phoneticPr fontId="3" type="noConversion"/>
  </si>
  <si>
    <t>中高区</t>
    <phoneticPr fontId="3" type="noConversion"/>
  </si>
  <si>
    <t>高区</t>
    <phoneticPr fontId="3" type="noConversion"/>
  </si>
  <si>
    <t>支路</t>
    <phoneticPr fontId="3" type="noConversion"/>
  </si>
  <si>
    <t>次干道</t>
    <phoneticPr fontId="3" type="noConversion"/>
  </si>
  <si>
    <t>主干道</t>
    <phoneticPr fontId="3" type="noConversion"/>
  </si>
  <si>
    <t>快速路</t>
    <phoneticPr fontId="3" type="noConversion"/>
  </si>
  <si>
    <t>高速路</t>
    <phoneticPr fontId="3" type="noConversion"/>
  </si>
  <si>
    <t>毗邻道路的类型与等级</t>
    <phoneticPr fontId="3" type="noConversion"/>
  </si>
  <si>
    <r>
      <rPr>
        <sz val="11"/>
        <color indexed="8"/>
        <rFont val="楷体_GB2312"/>
        <family val="3"/>
        <charset val="134"/>
      </rPr>
      <t>差</t>
    </r>
    <phoneticPr fontId="3" type="noConversion"/>
  </si>
  <si>
    <r>
      <rPr>
        <sz val="11"/>
        <color indexed="8"/>
        <rFont val="楷体_GB2312"/>
        <family val="3"/>
        <charset val="134"/>
      </rPr>
      <t>较差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</si>
  <si>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</si>
  <si>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</si>
  <si>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</si>
  <si>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环境质量</t>
    <phoneticPr fontId="3" type="noConversion"/>
  </si>
  <si>
    <t>六通</t>
    <phoneticPr fontId="3" type="noConversion"/>
  </si>
  <si>
    <t>七通</t>
    <phoneticPr fontId="3" type="noConversion"/>
  </si>
  <si>
    <t>基础设施水平</t>
    <phoneticPr fontId="3" type="noConversion"/>
  </si>
  <si>
    <t>公共配套设施</t>
    <phoneticPr fontId="3" type="noConversion"/>
  </si>
  <si>
    <t>交通便捷度</t>
    <phoneticPr fontId="3" type="noConversion"/>
  </si>
  <si>
    <t>办公集聚程度</t>
    <phoneticPr fontId="3" type="noConversion"/>
  </si>
  <si>
    <t>区位状况</t>
    <phoneticPr fontId="3" type="noConversion"/>
  </si>
  <si>
    <r>
      <rPr>
        <b/>
        <sz val="11"/>
        <rFont val="楷体_GB2312"/>
        <family val="3"/>
        <charset val="134"/>
      </rPr>
      <t>总修正幅度不超过</t>
    </r>
    <r>
      <rPr>
        <b/>
        <sz val="11"/>
        <color indexed="10"/>
        <rFont val="Arial"/>
        <family val="2"/>
      </rPr>
      <t>30%</t>
    </r>
    <phoneticPr fontId="3"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</si>
  <si>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</si>
  <si>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</si>
  <si>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</si>
  <si>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</si>
  <si>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</si>
  <si>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</si>
  <si>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</si>
  <si>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</si>
  <si>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</si>
  <si>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t>内部装修</t>
    <phoneticPr fontId="3" type="noConversion"/>
  </si>
  <si>
    <t>层高</t>
    <phoneticPr fontId="3" type="noConversion"/>
  </si>
  <si>
    <t>六通</t>
  </si>
  <si>
    <t>实物状况</t>
    <phoneticPr fontId="3" type="noConversion"/>
  </si>
  <si>
    <t>普通</t>
  </si>
  <si>
    <t>物业管理</t>
    <phoneticPr fontId="3" type="noConversion"/>
  </si>
  <si>
    <t>甲级</t>
  </si>
  <si>
    <t>写字楼等级</t>
    <phoneticPr fontId="3" type="noConversion"/>
  </si>
  <si>
    <t>标准写字楼</t>
  </si>
  <si>
    <t>建筑类型</t>
    <phoneticPr fontId="3" type="noConversion"/>
  </si>
  <si>
    <t>东</t>
  </si>
  <si>
    <t>朝向</t>
    <phoneticPr fontId="3" type="noConversion"/>
  </si>
  <si>
    <t>中高区</t>
  </si>
  <si>
    <t>次干道</t>
  </si>
  <si>
    <t>城市次干道——荣京西街</t>
    <phoneticPr fontId="3" type="noConversion"/>
  </si>
  <si>
    <t>毗邻道路的类型与等级</t>
    <phoneticPr fontId="3" type="noConversion"/>
  </si>
  <si>
    <t>环境质量</t>
    <phoneticPr fontId="3" type="noConversion"/>
  </si>
  <si>
    <t>办公集聚程度</t>
    <phoneticPr fontId="3" type="noConversion"/>
  </si>
  <si>
    <t>40-50（含）</t>
  </si>
  <si>
    <t>办公</t>
    <phoneticPr fontId="3" type="noConversion"/>
  </si>
  <si>
    <t>用途</t>
    <phoneticPr fontId="3" type="noConversion"/>
  </si>
  <si>
    <t>国瑞金鼎</t>
    <phoneticPr fontId="3" type="noConversion"/>
  </si>
  <si>
    <t>租金</t>
  </si>
  <si>
    <t>地上办公</t>
  </si>
  <si>
    <t>─</t>
    <phoneticPr fontId="3" type="noConversion"/>
  </si>
  <si>
    <t>中航国际</t>
    <phoneticPr fontId="3" type="noConversion"/>
  </si>
  <si>
    <t>朝林广场</t>
    <phoneticPr fontId="3" type="noConversion"/>
  </si>
  <si>
    <t>中航技广场</t>
    <phoneticPr fontId="3" type="noConversion"/>
  </si>
  <si>
    <t>专业</t>
  </si>
  <si>
    <t>城市次干道——荣华南路</t>
    <phoneticPr fontId="3" type="noConversion"/>
  </si>
  <si>
    <t>地上设备用房</t>
    <phoneticPr fontId="3" type="noConversion"/>
  </si>
  <si>
    <t>地下设备用房</t>
    <phoneticPr fontId="3" type="noConversion"/>
  </si>
  <si>
    <t>是</t>
    <phoneticPr fontId="3" type="noConversion"/>
  </si>
  <si>
    <t>商务金融用地（商业类）</t>
  </si>
  <si>
    <t>双面临街</t>
  </si>
  <si>
    <t>已包含在土地取得成本中</t>
  </si>
  <si>
    <t>综合项目（商业、办公）</t>
  </si>
  <si>
    <t>亦庄创意生活广场</t>
    <phoneticPr fontId="3" type="noConversion"/>
  </si>
  <si>
    <t>荣华南路18号</t>
    <phoneticPr fontId="3" type="noConversion"/>
  </si>
  <si>
    <t>荣华中路与荣京东街交汇处</t>
    <phoneticPr fontId="3" type="noConversion"/>
  </si>
  <si>
    <t>荣华南路13号</t>
    <phoneticPr fontId="3" type="noConversion"/>
  </si>
  <si>
    <t>上海沙龙新天地</t>
    <phoneticPr fontId="3" type="noConversion"/>
  </si>
  <si>
    <t>好</t>
    <phoneticPr fontId="143" type="noConversion"/>
  </si>
  <si>
    <t>较好</t>
    <phoneticPr fontId="143" type="noConversion"/>
  </si>
  <si>
    <t>智能环保系统</t>
    <phoneticPr fontId="143" type="noConversion"/>
  </si>
  <si>
    <t>有</t>
    <phoneticPr fontId="143" type="noConversion"/>
  </si>
  <si>
    <t>无</t>
    <phoneticPr fontId="143" type="noConversion"/>
  </si>
  <si>
    <t>大兴区天宝南街4号</t>
    <phoneticPr fontId="3" type="noConversion"/>
  </si>
  <si>
    <t>BDA国际广场</t>
    <phoneticPr fontId="3" type="noConversion"/>
  </si>
  <si>
    <t>大兴区地盛西路6号</t>
    <phoneticPr fontId="3" type="noConversion"/>
  </si>
  <si>
    <t>大兴区亦庄文化园东路6号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</si>
</sst>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16"/>
      <color rgb="FFFF0000"/>
      <name val="楷体_GB2312"/>
      <family val="3"/>
      <charset val="134"/>
    </font>
    <font>
      <sz val="12"/>
      <name val="仿宋_GB2312"/>
      <family val="3"/>
      <charset val="134"/>
    </font>
    <font>
      <b/>
      <sz val="11"/>
      <name val="楷体_GB2312"/>
      <family val="3"/>
      <charset val="134"/>
    </font>
    <font>
      <sz val="11"/>
      <color rgb="FFFF0000"/>
      <name val="楷体_GB2312"/>
      <family val="3"/>
      <charset val="134"/>
    </font>
    <font>
      <sz val="11"/>
      <name val="楷体_GB2312"/>
      <family val="3"/>
      <charset val="134"/>
    </font>
    <font>
      <sz val="11"/>
      <name val="仿宋_GB2312"/>
      <family val="3"/>
      <charset val="134"/>
    </font>
    <font>
      <sz val="10"/>
      <color rgb="FFFF0000"/>
      <name val="楷体_GB2312"/>
      <family val="3"/>
      <charset val="134"/>
    </font>
    <font>
      <sz val="10"/>
      <color indexed="10"/>
      <name val="楷体_GB2312"/>
      <family val="3"/>
      <charset val="134"/>
    </font>
    <font>
      <sz val="10"/>
      <color theme="1"/>
      <name val="楷体_GB2312"/>
      <family val="3"/>
      <charset val="134"/>
    </font>
    <font>
      <b/>
      <sz val="11"/>
      <color rgb="FFFF0000"/>
      <name val="楷体_GB2312"/>
      <family val="3"/>
      <charset val="134"/>
    </font>
    <font>
      <sz val="10"/>
      <color indexed="8"/>
      <name val="仿宋_GB2312"/>
      <family val="3"/>
      <charset val="134"/>
    </font>
    <font>
      <sz val="10"/>
      <color rgb="FFFF0000"/>
      <name val="宋体"/>
      <family val="3"/>
      <charset val="134"/>
      <scheme val="minor"/>
    </font>
    <font>
      <sz val="12"/>
      <color rgb="FFFF0000"/>
      <name val="楷体_GB2312"/>
      <family val="3"/>
      <charset val="134"/>
    </font>
    <font>
      <b/>
      <sz val="16"/>
      <name val="楷体_GB2312"/>
      <family val="3"/>
      <charset val="134"/>
    </font>
    <font>
      <sz val="16"/>
      <name val="楷体_GB2312"/>
      <family val="3"/>
      <charset val="134"/>
    </font>
    <font>
      <b/>
      <sz val="11"/>
      <color indexed="8"/>
      <name val="楷体_GB2312"/>
      <family val="3"/>
      <charset val="134"/>
    </font>
    <font>
      <b/>
      <sz val="11"/>
      <color indexed="62"/>
      <name val="楷体_GB2312"/>
      <family val="3"/>
      <charset val="134"/>
    </font>
    <font>
      <sz val="11"/>
      <color indexed="62"/>
      <name val="楷体_GB2312"/>
      <family val="3"/>
      <charset val="134"/>
    </font>
    <font>
      <sz val="11"/>
      <color indexed="10"/>
      <name val="楷体_GB2312"/>
      <family val="3"/>
      <charset val="134"/>
    </font>
    <font>
      <sz val="12"/>
      <name val="楷体_GB2312"/>
      <family val="3"/>
      <charset val="134"/>
    </font>
    <font>
      <sz val="11"/>
      <color indexed="53"/>
      <name val="楷体_GB2312"/>
      <family val="3"/>
      <charset val="134"/>
    </font>
    <font>
      <b/>
      <sz val="11"/>
      <color indexed="10"/>
      <name val="楷体_GB2312"/>
      <family val="3"/>
      <charset val="134"/>
    </font>
    <font>
      <b/>
      <sz val="16"/>
      <color indexed="8"/>
      <name val="楷体_GB2312"/>
      <family val="3"/>
      <charset val="134"/>
    </font>
    <font>
      <sz val="9"/>
      <color rgb="FF000000"/>
      <name val="Arial"/>
      <family val="2"/>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40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 xfId="1" applyFont="1" applyFill="1" applyBorder="1" applyAlignment="1" applyProtection="1">
      <alignment vertical="center"/>
    </xf>
    <xf numFmtId="0" fontId="13" fillId="6" borderId="1" xfId="10" applyFont="1" applyFill="1" applyBorder="1" applyAlignment="1" applyProtection="1">
      <alignment vertical="center" wrapText="1"/>
    </xf>
    <xf numFmtId="0" fontId="13" fillId="6" borderId="0" xfId="10" applyFont="1" applyFill="1" applyAlignment="1" applyProtection="1">
      <alignment vertical="center" wrapText="1"/>
    </xf>
    <xf numFmtId="0" fontId="13" fillId="7" borderId="0" xfId="10" applyFont="1" applyFill="1" applyAlignment="1" applyProtection="1">
      <alignment vertical="center" wrapText="1"/>
      <protection locked="0"/>
    </xf>
    <xf numFmtId="0" fontId="99" fillId="6" borderId="6" xfId="10" applyNumberFormat="1" applyFont="1" applyFill="1" applyBorder="1" applyAlignment="1" applyProtection="1">
      <alignment horizontal="center" vertical="center"/>
    </xf>
    <xf numFmtId="0" fontId="104" fillId="6" borderId="28" xfId="10" applyNumberFormat="1" applyFont="1" applyFill="1" applyBorder="1" applyProtection="1">
      <alignment vertical="center"/>
    </xf>
    <xf numFmtId="10" fontId="56" fillId="6" borderId="1" xfId="10" applyNumberFormat="1" applyFont="1" applyFill="1" applyBorder="1" applyAlignment="1" applyProtection="1">
      <alignment vertical="center" wrapText="1"/>
    </xf>
    <xf numFmtId="0" fontId="13" fillId="0" borderId="0" xfId="10" applyFont="1" applyAlignment="1" applyProtection="1">
      <alignment vertical="center" wrapText="1"/>
      <protection locked="0"/>
    </xf>
    <xf numFmtId="0" fontId="257" fillId="6" borderId="1" xfId="8" applyFont="1" applyFill="1" applyBorder="1" applyAlignment="1" applyProtection="1">
      <alignment horizontal="center" vertical="center" wrapText="1"/>
    </xf>
    <xf numFmtId="0" fontId="82" fillId="6" borderId="0" xfId="8" applyFont="1" applyFill="1" applyAlignment="1" applyProtection="1">
      <alignment vertical="center" wrapText="1"/>
      <protection locked="0"/>
    </xf>
    <xf numFmtId="0" fontId="82" fillId="6" borderId="0" xfId="8" applyFont="1" applyFill="1" applyAlignment="1" applyProtection="1">
      <alignment horizontal="center" vertical="center" wrapText="1"/>
      <protection locked="0"/>
    </xf>
    <xf numFmtId="0" fontId="82" fillId="7" borderId="0" xfId="8" applyFont="1" applyFill="1" applyAlignment="1" applyProtection="1">
      <alignment horizontal="center" vertical="center" wrapText="1"/>
    </xf>
    <xf numFmtId="0" fontId="82" fillId="0" borderId="0" xfId="8" applyFont="1" applyAlignment="1" applyProtection="1">
      <alignment horizontal="center" vertical="center" wrapText="1"/>
    </xf>
    <xf numFmtId="0" fontId="13" fillId="0" borderId="0" xfId="10" applyFont="1" applyAlignment="1" applyProtection="1">
      <alignment vertical="center" wrapText="1"/>
    </xf>
    <xf numFmtId="0" fontId="21" fillId="6" borderId="5" xfId="1" applyFont="1" applyFill="1" applyBorder="1" applyAlignment="1" applyProtection="1">
      <alignment vertical="center"/>
    </xf>
    <xf numFmtId="0" fontId="13" fillId="6" borderId="1" xfId="10" applyNumberFormat="1" applyFont="1" applyFill="1" applyBorder="1" applyAlignment="1" applyProtection="1">
      <alignment horizontal="left" vertical="center" wrapText="1"/>
    </xf>
    <xf numFmtId="0" fontId="13" fillId="5" borderId="1" xfId="10" applyNumberFormat="1" applyFont="1" applyFill="1" applyBorder="1" applyAlignment="1" applyProtection="1">
      <alignment horizontal="center" vertical="center" wrapText="1"/>
      <protection locked="0"/>
    </xf>
    <xf numFmtId="0" fontId="13" fillId="6" borderId="1" xfId="10" applyNumberFormat="1" applyFont="1" applyFill="1" applyBorder="1" applyAlignment="1" applyProtection="1">
      <alignment horizontal="center" vertical="center" wrapText="1"/>
    </xf>
    <xf numFmtId="0" fontId="13" fillId="6" borderId="0" xfId="10" applyNumberFormat="1" applyFont="1" applyFill="1" applyAlignment="1" applyProtection="1">
      <alignment vertical="center" wrapText="1"/>
    </xf>
    <xf numFmtId="0" fontId="99" fillId="6" borderId="23" xfId="10" applyNumberFormat="1" applyFont="1" applyFill="1" applyBorder="1" applyAlignment="1" applyProtection="1">
      <alignment horizontal="center" vertical="center"/>
    </xf>
    <xf numFmtId="0" fontId="104" fillId="6" borderId="5" xfId="10" applyNumberFormat="1" applyFont="1" applyFill="1" applyBorder="1" applyProtection="1">
      <alignment vertical="center"/>
    </xf>
    <xf numFmtId="0" fontId="21" fillId="6" borderId="13" xfId="1" applyFont="1" applyFill="1" applyBorder="1" applyAlignment="1" applyProtection="1">
      <alignment vertical="center"/>
    </xf>
    <xf numFmtId="0" fontId="13" fillId="5" borderId="1" xfId="10" applyNumberFormat="1" applyFont="1" applyFill="1" applyBorder="1" applyAlignment="1" applyProtection="1">
      <alignment vertical="center" wrapText="1"/>
      <protection locked="0"/>
    </xf>
    <xf numFmtId="0" fontId="13" fillId="5" borderId="1" xfId="10" applyFont="1" applyFill="1" applyBorder="1" applyAlignment="1" applyProtection="1">
      <alignment horizontal="left" vertical="center"/>
      <protection locked="0"/>
    </xf>
    <xf numFmtId="179" fontId="54" fillId="6" borderId="1" xfId="10" applyNumberFormat="1" applyFont="1" applyFill="1" applyBorder="1" applyAlignment="1" applyProtection="1">
      <alignment horizontal="center" vertical="center" wrapText="1"/>
    </xf>
    <xf numFmtId="0" fontId="13" fillId="6" borderId="1" xfId="10" applyFont="1" applyFill="1" applyBorder="1" applyAlignment="1" applyProtection="1">
      <alignment horizontal="left" vertical="center" wrapText="1"/>
    </xf>
    <xf numFmtId="177" fontId="54" fillId="0" borderId="1" xfId="10" applyNumberFormat="1" applyFont="1" applyFill="1" applyBorder="1" applyAlignment="1" applyProtection="1">
      <alignment horizontal="center" vertical="center" wrapText="1"/>
      <protection locked="0"/>
    </xf>
    <xf numFmtId="49" fontId="258" fillId="6" borderId="13" xfId="10" applyNumberFormat="1" applyFont="1" applyFill="1" applyBorder="1" applyAlignment="1" applyProtection="1">
      <alignment horizontal="left" vertical="center" wrapText="1"/>
    </xf>
    <xf numFmtId="0" fontId="258" fillId="6" borderId="13" xfId="10" applyFont="1" applyFill="1" applyBorder="1" applyAlignment="1" applyProtection="1">
      <alignment horizontal="left" vertical="center" wrapText="1"/>
    </xf>
    <xf numFmtId="0" fontId="53" fillId="6" borderId="36" xfId="10" applyFont="1" applyFill="1" applyBorder="1" applyAlignment="1" applyProtection="1">
      <alignment horizontal="center" vertical="center"/>
    </xf>
    <xf numFmtId="0" fontId="259" fillId="6" borderId="46" xfId="10" applyFont="1" applyFill="1" applyBorder="1" applyAlignment="1" applyProtection="1">
      <alignment vertical="center"/>
    </xf>
    <xf numFmtId="0" fontId="258" fillId="6" borderId="36" xfId="10" applyFont="1" applyFill="1" applyBorder="1" applyAlignment="1" applyProtection="1">
      <alignment vertical="center" wrapText="1"/>
    </xf>
    <xf numFmtId="0" fontId="260" fillId="6" borderId="36" xfId="10" applyFont="1" applyFill="1" applyBorder="1" applyAlignment="1" applyProtection="1">
      <alignment vertical="center" wrapText="1"/>
    </xf>
    <xf numFmtId="0" fontId="260" fillId="6" borderId="22" xfId="10" applyFont="1" applyFill="1" applyBorder="1" applyAlignment="1" applyProtection="1">
      <alignment vertical="center" wrapText="1"/>
    </xf>
    <xf numFmtId="0" fontId="260" fillId="7" borderId="0" xfId="10" applyFont="1" applyFill="1" applyAlignment="1" applyProtection="1">
      <alignment vertical="center"/>
      <protection locked="0"/>
    </xf>
    <xf numFmtId="0" fontId="261" fillId="6" borderId="0" xfId="8" applyFont="1" applyFill="1" applyAlignment="1" applyProtection="1">
      <alignment horizontal="center" vertical="center" wrapText="1"/>
      <protection locked="0"/>
    </xf>
    <xf numFmtId="0" fontId="261" fillId="7" borderId="0" xfId="8" applyFont="1" applyFill="1" applyAlignment="1" applyProtection="1">
      <alignment horizontal="center" vertical="center" wrapText="1"/>
    </xf>
    <xf numFmtId="0" fontId="261" fillId="0" borderId="0" xfId="8" applyFont="1" applyAlignment="1" applyProtection="1">
      <alignment horizontal="center" vertical="center" wrapText="1"/>
    </xf>
    <xf numFmtId="0" fontId="260" fillId="0" borderId="0" xfId="10" applyFont="1" applyAlignment="1" applyProtection="1">
      <alignment vertical="center" wrapText="1"/>
    </xf>
    <xf numFmtId="49" fontId="12" fillId="6" borderId="26" xfId="10" applyNumberFormat="1" applyFont="1" applyFill="1" applyBorder="1" applyAlignment="1" applyProtection="1">
      <alignment horizontal="center" vertical="center" wrapText="1"/>
    </xf>
    <xf numFmtId="0" fontId="12" fillId="6" borderId="64" xfId="10" applyFont="1" applyFill="1" applyBorder="1" applyAlignment="1" applyProtection="1">
      <alignment horizontal="left" vertical="center" wrapText="1"/>
    </xf>
    <xf numFmtId="0" fontId="57" fillId="6" borderId="34" xfId="10" applyFont="1" applyFill="1" applyBorder="1" applyAlignment="1" applyProtection="1">
      <alignment horizontal="center" vertical="center"/>
    </xf>
    <xf numFmtId="0" fontId="262" fillId="6" borderId="34" xfId="10" applyFont="1" applyFill="1" applyBorder="1" applyAlignment="1" applyProtection="1">
      <alignment vertical="center"/>
    </xf>
    <xf numFmtId="0" fontId="12"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wrapText="1"/>
    </xf>
    <xf numFmtId="0" fontId="13" fillId="6" borderId="65" xfId="10" applyFont="1" applyFill="1" applyBorder="1" applyAlignment="1" applyProtection="1">
      <alignment vertical="center" wrapText="1"/>
    </xf>
    <xf numFmtId="0" fontId="13" fillId="7" borderId="0" xfId="10" applyFont="1" applyFill="1" applyAlignment="1" applyProtection="1">
      <alignment vertical="center"/>
      <protection locked="0"/>
    </xf>
    <xf numFmtId="0" fontId="12" fillId="6" borderId="9" xfId="10" applyFont="1" applyFill="1" applyBorder="1" applyAlignment="1" applyProtection="1">
      <alignment horizontal="left" vertical="center" wrapText="1"/>
    </xf>
    <xf numFmtId="0" fontId="57" fillId="6" borderId="28" xfId="10" applyNumberFormat="1" applyFont="1" applyFill="1" applyBorder="1" applyAlignment="1" applyProtection="1">
      <alignment horizontal="center" vertical="center" wrapText="1"/>
    </xf>
    <xf numFmtId="0" fontId="13" fillId="6" borderId="9" xfId="10" applyFont="1" applyFill="1" applyBorder="1" applyAlignment="1" applyProtection="1">
      <alignment horizontal="center" vertical="center" wrapText="1"/>
    </xf>
    <xf numFmtId="0" fontId="56" fillId="0" borderId="9" xfId="10" applyFont="1" applyFill="1" applyBorder="1" applyAlignment="1" applyProtection="1">
      <alignment horizontal="center" vertical="center" wrapText="1"/>
      <protection locked="0"/>
    </xf>
    <xf numFmtId="0" fontId="13" fillId="6" borderId="19" xfId="10" applyFont="1" applyFill="1" applyBorder="1" applyAlignment="1" applyProtection="1">
      <alignment horizontal="center" vertical="center" wrapText="1"/>
    </xf>
    <xf numFmtId="0" fontId="13" fillId="6" borderId="19" xfId="10" applyFont="1" applyFill="1" applyBorder="1" applyAlignment="1" applyProtection="1">
      <alignment vertical="center" wrapText="1"/>
    </xf>
    <xf numFmtId="0" fontId="13" fillId="6" borderId="31" xfId="10" applyFont="1" applyFill="1" applyBorder="1" applyAlignment="1" applyProtection="1">
      <alignment vertical="center" wrapText="1"/>
    </xf>
    <xf numFmtId="0" fontId="13" fillId="5" borderId="1" xfId="10" applyFont="1" applyFill="1" applyBorder="1" applyAlignment="1" applyProtection="1">
      <alignment horizontal="center" vertical="center" wrapText="1"/>
      <protection locked="0"/>
    </xf>
    <xf numFmtId="0" fontId="56" fillId="6" borderId="2" xfId="10" applyFont="1" applyFill="1" applyBorder="1" applyAlignment="1" applyProtection="1">
      <alignment horizontal="center" vertical="center" wrapText="1"/>
    </xf>
    <xf numFmtId="0" fontId="56" fillId="6" borderId="4" xfId="10" applyFont="1" applyFill="1" applyBorder="1" applyAlignment="1" applyProtection="1">
      <alignment horizontal="center" vertical="center" wrapText="1"/>
    </xf>
    <xf numFmtId="0" fontId="13" fillId="6" borderId="5" xfId="10" applyFont="1" applyFill="1" applyBorder="1" applyAlignment="1" applyProtection="1">
      <alignment vertical="center"/>
    </xf>
    <xf numFmtId="0" fontId="13" fillId="6" borderId="54" xfId="10" applyFont="1" applyFill="1" applyBorder="1" applyAlignment="1" applyProtection="1">
      <alignment vertical="center" wrapText="1"/>
    </xf>
    <xf numFmtId="0" fontId="13" fillId="6" borderId="48" xfId="10" applyFont="1" applyFill="1" applyBorder="1" applyAlignment="1" applyProtection="1">
      <alignment vertical="center" wrapText="1"/>
    </xf>
    <xf numFmtId="9" fontId="56" fillId="6" borderId="1" xfId="10" applyNumberFormat="1" applyFont="1" applyFill="1" applyBorder="1" applyAlignment="1" applyProtection="1">
      <alignment horizontal="center" vertical="center" wrapText="1"/>
    </xf>
    <xf numFmtId="0" fontId="56" fillId="6" borderId="1" xfId="10"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xf>
    <xf numFmtId="0" fontId="13" fillId="6" borderId="13" xfId="10" applyFont="1" applyFill="1" applyBorder="1" applyAlignment="1" applyProtection="1">
      <alignment horizontal="left" vertical="center" wrapText="1"/>
    </xf>
    <xf numFmtId="0" fontId="56" fillId="6" borderId="13" xfId="10" applyFont="1" applyFill="1" applyBorder="1" applyAlignment="1" applyProtection="1">
      <alignment horizontal="center" vertical="center" wrapText="1"/>
    </xf>
    <xf numFmtId="0" fontId="13" fillId="6" borderId="46" xfId="10" applyFont="1" applyFill="1" applyBorder="1" applyAlignment="1" applyProtection="1">
      <alignment vertical="center"/>
    </xf>
    <xf numFmtId="0" fontId="13" fillId="6" borderId="36" xfId="10" applyFont="1" applyFill="1" applyBorder="1" applyAlignment="1" applyProtection="1">
      <alignment vertical="center" wrapText="1"/>
    </xf>
    <xf numFmtId="0" fontId="13" fillId="6" borderId="59" xfId="10" applyFont="1" applyFill="1" applyBorder="1" applyAlignment="1" applyProtection="1">
      <alignment vertical="center" wrapText="1"/>
    </xf>
    <xf numFmtId="0" fontId="12" fillId="6" borderId="17" xfId="10" applyFont="1" applyFill="1" applyBorder="1" applyAlignment="1" applyProtection="1">
      <alignment horizontal="left" vertical="center" wrapText="1"/>
    </xf>
    <xf numFmtId="0" fontId="13" fillId="6" borderId="28" xfId="10" applyFont="1" applyFill="1" applyBorder="1" applyAlignment="1" applyProtection="1">
      <alignment vertical="center"/>
    </xf>
    <xf numFmtId="0" fontId="13" fillId="6" borderId="20" xfId="10" applyFont="1" applyFill="1" applyBorder="1" applyAlignment="1" applyProtection="1">
      <alignment horizontal="center" vertical="center" wrapText="1"/>
    </xf>
    <xf numFmtId="0" fontId="13" fillId="6" borderId="20" xfId="10" applyFont="1" applyFill="1" applyBorder="1" applyAlignment="1" applyProtection="1">
      <alignment vertical="center" wrapText="1"/>
    </xf>
    <xf numFmtId="0" fontId="13" fillId="6" borderId="21" xfId="10" applyFont="1" applyFill="1" applyBorder="1" applyAlignment="1" applyProtection="1">
      <alignment vertical="center" wrapText="1"/>
    </xf>
    <xf numFmtId="0" fontId="99" fillId="6" borderId="25" xfId="10" applyNumberFormat="1" applyFont="1" applyFill="1" applyBorder="1" applyAlignment="1" applyProtection="1">
      <alignment horizontal="center" vertical="center"/>
    </xf>
    <xf numFmtId="0" fontId="104" fillId="6" borderId="33" xfId="10" applyNumberFormat="1" applyFont="1" applyFill="1" applyBorder="1" applyProtection="1">
      <alignment vertical="center"/>
    </xf>
    <xf numFmtId="0" fontId="264" fillId="6" borderId="13" xfId="10" applyFont="1" applyFill="1" applyBorder="1" applyAlignment="1" applyProtection="1">
      <alignment horizontal="left" vertical="center" wrapText="1"/>
    </xf>
    <xf numFmtId="0" fontId="264" fillId="6" borderId="3" xfId="10" applyFont="1" applyFill="1" applyBorder="1" applyAlignment="1" applyProtection="1">
      <alignment horizontal="center" vertical="center" wrapText="1"/>
    </xf>
    <xf numFmtId="0" fontId="264" fillId="6" borderId="2" xfId="10" applyFont="1" applyFill="1" applyBorder="1" applyAlignment="1" applyProtection="1">
      <alignment horizontal="center" vertical="center" wrapText="1"/>
    </xf>
    <xf numFmtId="0" fontId="11" fillId="6" borderId="2" xfId="10" applyFont="1" applyFill="1" applyBorder="1" applyAlignment="1" applyProtection="1">
      <alignment horizontal="center" vertical="center" wrapText="1"/>
    </xf>
    <xf numFmtId="0" fontId="13" fillId="0" borderId="1" xfId="10" applyFont="1" applyFill="1" applyBorder="1" applyAlignment="1" applyProtection="1">
      <alignment horizontal="center" vertical="center"/>
      <protection locked="0"/>
    </xf>
    <xf numFmtId="0" fontId="13" fillId="0" borderId="24" xfId="10" applyFont="1" applyFill="1" applyBorder="1" applyAlignment="1" applyProtection="1">
      <alignment horizontal="center" vertical="center" wrapText="1"/>
      <protection locked="0"/>
    </xf>
    <xf numFmtId="0" fontId="264" fillId="6" borderId="2" xfId="10" applyFont="1" applyFill="1" applyBorder="1" applyAlignment="1" applyProtection="1">
      <alignment horizontal="left" vertical="center" wrapText="1"/>
    </xf>
    <xf numFmtId="0" fontId="264" fillId="5" borderId="3" xfId="10" applyFont="1" applyFill="1" applyBorder="1" applyAlignment="1" applyProtection="1">
      <alignment horizontal="center" vertical="center" wrapText="1"/>
      <protection locked="0"/>
    </xf>
    <xf numFmtId="0" fontId="264" fillId="5" borderId="1" xfId="10" applyFont="1" applyFill="1" applyBorder="1" applyAlignment="1" applyProtection="1">
      <alignment horizontal="center" vertical="center" wrapText="1"/>
      <protection locked="0"/>
    </xf>
    <xf numFmtId="0" fontId="264" fillId="5" borderId="2" xfId="10" applyFont="1" applyFill="1" applyBorder="1" applyAlignment="1" applyProtection="1">
      <alignment horizontal="center" vertical="center" wrapText="1"/>
      <protection locked="0"/>
    </xf>
    <xf numFmtId="0" fontId="263" fillId="6" borderId="4" xfId="10" applyFont="1" applyFill="1" applyBorder="1" applyAlignment="1" applyProtection="1">
      <alignment vertical="center"/>
    </xf>
    <xf numFmtId="0" fontId="13" fillId="6" borderId="0" xfId="10" applyFont="1" applyFill="1" applyBorder="1" applyAlignment="1" applyProtection="1">
      <alignment vertical="center" wrapText="1"/>
    </xf>
    <xf numFmtId="0" fontId="262" fillId="6" borderId="60" xfId="10" applyFont="1" applyFill="1" applyBorder="1" applyAlignment="1" applyProtection="1">
      <alignment vertical="center"/>
    </xf>
    <xf numFmtId="0" fontId="262" fillId="6" borderId="71" xfId="10" applyFont="1" applyFill="1" applyBorder="1" applyAlignment="1" applyProtection="1">
      <alignment vertical="center"/>
    </xf>
    <xf numFmtId="0" fontId="264" fillId="6" borderId="74" xfId="10" applyFont="1" applyFill="1" applyBorder="1" applyAlignment="1" applyProtection="1">
      <alignment horizontal="left" vertical="center" wrapText="1"/>
    </xf>
    <xf numFmtId="0" fontId="56" fillId="6" borderId="32" xfId="10" applyFont="1" applyFill="1" applyBorder="1" applyAlignment="1" applyProtection="1">
      <alignment horizontal="center" vertical="center" wrapText="1"/>
    </xf>
    <xf numFmtId="0" fontId="56" fillId="0" borderId="32" xfId="10" applyFont="1" applyFill="1" applyBorder="1" applyAlignment="1" applyProtection="1">
      <alignment horizontal="center" vertical="center" wrapText="1"/>
      <protection locked="0"/>
    </xf>
    <xf numFmtId="0" fontId="56" fillId="0" borderId="49" xfId="10" applyFont="1" applyFill="1" applyBorder="1" applyAlignment="1" applyProtection="1">
      <alignment horizontal="center" vertical="center" wrapText="1"/>
      <protection locked="0"/>
    </xf>
    <xf numFmtId="0" fontId="13" fillId="6" borderId="41" xfId="10" applyFont="1" applyFill="1" applyBorder="1" applyAlignment="1" applyProtection="1">
      <alignment horizontal="center" vertical="center" wrapText="1"/>
    </xf>
    <xf numFmtId="0" fontId="13" fillId="6" borderId="2" xfId="10" applyFont="1" applyFill="1" applyBorder="1" applyAlignment="1" applyProtection="1">
      <alignment horizontal="center" vertical="center" wrapText="1"/>
    </xf>
    <xf numFmtId="0" fontId="13" fillId="6" borderId="8" xfId="10" applyFont="1" applyFill="1" applyBorder="1" applyAlignment="1" applyProtection="1">
      <alignment horizontal="center" vertical="center" wrapText="1"/>
    </xf>
    <xf numFmtId="0" fontId="57" fillId="6" borderId="9" xfId="10" applyFont="1" applyFill="1" applyBorder="1" applyAlignment="1" applyProtection="1">
      <alignment horizontal="center" vertical="center" wrapText="1"/>
    </xf>
    <xf numFmtId="0" fontId="13" fillId="6" borderId="17" xfId="10" applyFont="1" applyFill="1" applyBorder="1" applyAlignment="1" applyProtection="1">
      <alignment horizontal="left" vertical="center" wrapText="1"/>
    </xf>
    <xf numFmtId="0" fontId="13" fillId="5" borderId="17" xfId="10" applyFont="1" applyFill="1" applyBorder="1" applyAlignment="1" applyProtection="1">
      <alignment horizontal="center" vertical="center" wrapText="1"/>
      <protection locked="0"/>
    </xf>
    <xf numFmtId="0" fontId="13" fillId="5" borderId="9" xfId="10" applyFont="1" applyFill="1" applyBorder="1" applyAlignment="1" applyProtection="1">
      <alignment horizontal="right" vertical="center" wrapText="1"/>
      <protection locked="0"/>
    </xf>
    <xf numFmtId="0" fontId="13" fillId="5" borderId="9" xfId="10" applyFont="1" applyFill="1" applyBorder="1" applyAlignment="1" applyProtection="1">
      <alignment horizontal="center" vertical="center" wrapText="1"/>
      <protection locked="0"/>
    </xf>
    <xf numFmtId="0" fontId="13" fillId="5" borderId="10" xfId="10" applyFont="1" applyFill="1" applyBorder="1" applyAlignment="1" applyProtection="1">
      <alignment horizontal="center" vertical="center" wrapText="1"/>
      <protection locked="0"/>
    </xf>
    <xf numFmtId="0" fontId="13" fillId="6" borderId="23" xfId="10" applyFont="1" applyFill="1" applyBorder="1" applyAlignment="1" applyProtection="1">
      <alignment horizontal="center" vertical="center" wrapText="1"/>
    </xf>
    <xf numFmtId="9" fontId="56" fillId="6" borderId="24" xfId="10" applyNumberFormat="1" applyFont="1" applyFill="1" applyBorder="1" applyAlignment="1" applyProtection="1">
      <alignment horizontal="center" vertical="center" wrapText="1"/>
    </xf>
    <xf numFmtId="0" fontId="56" fillId="7" borderId="0" xfId="10" applyFont="1" applyFill="1" applyAlignment="1" applyProtection="1">
      <alignment vertical="center" wrapText="1"/>
      <protection locked="0"/>
    </xf>
    <xf numFmtId="0" fontId="13" fillId="6" borderId="13" xfId="10" applyFont="1" applyFill="1" applyBorder="1" applyAlignment="1" applyProtection="1">
      <alignment horizontal="left" vertical="center"/>
    </xf>
    <xf numFmtId="0" fontId="56" fillId="6" borderId="15" xfId="10" applyFont="1" applyFill="1" applyBorder="1" applyAlignment="1" applyProtection="1">
      <alignment horizontal="center" vertical="center" wrapText="1"/>
    </xf>
    <xf numFmtId="0" fontId="13" fillId="6" borderId="13" xfId="10" applyFont="1" applyFill="1" applyBorder="1" applyAlignment="1" applyProtection="1">
      <alignment vertical="center" wrapText="1"/>
    </xf>
    <xf numFmtId="0" fontId="13" fillId="6" borderId="13" xfId="10" applyFont="1" applyFill="1" applyBorder="1" applyAlignment="1" applyProtection="1">
      <alignment horizontal="center" vertical="center" wrapText="1"/>
    </xf>
    <xf numFmtId="0" fontId="13" fillId="6" borderId="15" xfId="10" applyFont="1" applyFill="1" applyBorder="1" applyAlignment="1" applyProtection="1">
      <alignment horizontal="center" vertical="center" wrapText="1"/>
    </xf>
    <xf numFmtId="0" fontId="56" fillId="6" borderId="53" xfId="10" applyFont="1" applyFill="1" applyBorder="1" applyAlignment="1" applyProtection="1">
      <alignment horizontal="center" vertical="center" wrapText="1"/>
    </xf>
    <xf numFmtId="9" fontId="13" fillId="6" borderId="25" xfId="10" applyNumberFormat="1" applyFont="1" applyFill="1" applyBorder="1" applyAlignment="1" applyProtection="1">
      <alignment horizontal="center" vertical="center" wrapText="1"/>
    </xf>
    <xf numFmtId="10" fontId="56" fillId="6" borderId="32" xfId="10" applyNumberFormat="1" applyFont="1" applyFill="1" applyBorder="1" applyAlignment="1" applyProtection="1">
      <alignment horizontal="center" vertical="center" wrapText="1"/>
    </xf>
    <xf numFmtId="10" fontId="56" fillId="6" borderId="49"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wrapText="1"/>
      <protection locked="0"/>
    </xf>
    <xf numFmtId="0" fontId="56" fillId="7" borderId="0" xfId="10" applyFont="1" applyFill="1" applyAlignment="1" applyProtection="1">
      <alignment horizontal="center" vertical="center" wrapText="1"/>
    </xf>
    <xf numFmtId="0" fontId="13" fillId="7" borderId="0" xfId="10" applyFont="1" applyFill="1" applyAlignment="1" applyProtection="1">
      <alignment vertical="center" wrapText="1"/>
    </xf>
    <xf numFmtId="49" fontId="258" fillId="6" borderId="26" xfId="10" applyNumberFormat="1" applyFont="1" applyFill="1" applyBorder="1" applyAlignment="1" applyProtection="1">
      <alignment horizontal="left" vertical="center" wrapText="1"/>
    </xf>
    <xf numFmtId="0" fontId="258" fillId="6" borderId="84" xfId="10" applyFont="1" applyFill="1" applyBorder="1" applyAlignment="1" applyProtection="1">
      <alignment horizontal="left" vertical="center" wrapText="1"/>
    </xf>
    <xf numFmtId="0" fontId="53" fillId="6" borderId="34" xfId="10" applyFont="1" applyFill="1" applyBorder="1" applyAlignment="1" applyProtection="1">
      <alignment horizontal="center" vertical="center" wrapText="1"/>
    </xf>
    <xf numFmtId="0" fontId="13" fillId="6" borderId="34" xfId="10" applyFont="1" applyFill="1" applyBorder="1" applyAlignment="1" applyProtection="1">
      <alignment vertical="center"/>
    </xf>
    <xf numFmtId="0" fontId="258"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xf>
    <xf numFmtId="0" fontId="260" fillId="6" borderId="64" xfId="10" applyFont="1" applyFill="1" applyBorder="1" applyAlignment="1" applyProtection="1">
      <alignment vertical="center" wrapText="1"/>
    </xf>
    <xf numFmtId="0" fontId="260" fillId="6" borderId="65" xfId="10" applyFont="1" applyFill="1" applyBorder="1" applyAlignment="1" applyProtection="1">
      <alignment vertical="center" wrapText="1"/>
    </xf>
    <xf numFmtId="0" fontId="260" fillId="7" borderId="0" xfId="10" applyFont="1" applyFill="1" applyAlignment="1" applyProtection="1">
      <alignment vertical="center" wrapText="1"/>
      <protection locked="0"/>
    </xf>
    <xf numFmtId="14" fontId="56" fillId="7" borderId="0" xfId="10" applyNumberFormat="1" applyFont="1" applyFill="1" applyAlignment="1" applyProtection="1">
      <alignment horizontal="center" vertical="center" wrapText="1"/>
      <protection locked="0"/>
    </xf>
    <xf numFmtId="10" fontId="56" fillId="7" borderId="0" xfId="10" applyNumberFormat="1" applyFont="1" applyFill="1" applyAlignment="1" applyProtection="1">
      <alignment horizontal="center" vertical="center" wrapText="1"/>
      <protection locked="0"/>
    </xf>
    <xf numFmtId="0" fontId="54" fillId="7" borderId="0" xfId="10" applyFont="1" applyFill="1" applyAlignment="1" applyProtection="1">
      <alignment vertical="center" wrapText="1"/>
      <protection locked="0"/>
    </xf>
    <xf numFmtId="0" fontId="54" fillId="7" borderId="0" xfId="10" applyFont="1" applyFill="1" applyAlignment="1" applyProtection="1">
      <alignment vertical="center" wrapText="1"/>
    </xf>
    <xf numFmtId="0" fontId="13" fillId="7" borderId="0" xfId="10" applyFont="1" applyFill="1" applyAlignment="1" applyProtection="1">
      <alignment horizontal="center" vertical="center" wrapText="1"/>
    </xf>
    <xf numFmtId="0" fontId="13" fillId="0" borderId="0" xfId="10" applyFont="1" applyAlignment="1" applyProtection="1">
      <alignment horizontal="center" vertical="center" wrapText="1"/>
    </xf>
    <xf numFmtId="187" fontId="53" fillId="6" borderId="84" xfId="10" applyNumberFormat="1" applyFont="1" applyFill="1" applyBorder="1" applyAlignment="1" applyProtection="1">
      <alignment horizontal="center" vertical="center" wrapText="1"/>
    </xf>
    <xf numFmtId="0" fontId="260" fillId="6" borderId="84" xfId="10" applyFont="1" applyFill="1" applyBorder="1" applyAlignment="1" applyProtection="1">
      <alignment horizontal="center" vertical="center" wrapText="1"/>
    </xf>
    <xf numFmtId="14" fontId="54" fillId="6" borderId="84" xfId="10" applyNumberFormat="1" applyFont="1" applyFill="1" applyBorder="1" applyAlignment="1" applyProtection="1">
      <alignment horizontal="center" vertical="center" wrapText="1"/>
    </xf>
    <xf numFmtId="14" fontId="54" fillId="6" borderId="64" xfId="10" applyNumberFormat="1" applyFont="1" applyFill="1" applyBorder="1" applyAlignment="1" applyProtection="1">
      <alignment horizontal="center" vertical="center" wrapText="1"/>
    </xf>
    <xf numFmtId="0" fontId="261" fillId="5" borderId="84" xfId="8" applyFont="1" applyFill="1" applyBorder="1" applyAlignment="1" applyProtection="1">
      <alignment horizontal="center" vertical="center" wrapText="1"/>
      <protection locked="0"/>
    </xf>
    <xf numFmtId="10" fontId="54" fillId="6" borderId="64" xfId="10" applyNumberFormat="1" applyFont="1" applyFill="1" applyBorder="1" applyAlignment="1" applyProtection="1">
      <alignment horizontal="center" vertical="center" wrapText="1"/>
    </xf>
    <xf numFmtId="0" fontId="260" fillId="6" borderId="6" xfId="10" applyFont="1" applyFill="1" applyBorder="1" applyAlignment="1" applyProtection="1">
      <alignment vertical="center" wrapText="1"/>
    </xf>
    <xf numFmtId="0" fontId="61" fillId="6" borderId="10" xfId="10" applyFont="1" applyFill="1" applyBorder="1" applyAlignment="1" applyProtection="1">
      <alignment horizontal="center" vertical="center" wrapText="1"/>
    </xf>
    <xf numFmtId="0" fontId="13" fillId="6" borderId="64" xfId="10" applyFont="1" applyFill="1" applyBorder="1" applyAlignment="1" applyProtection="1">
      <alignment horizontal="center" vertical="center" wrapText="1"/>
    </xf>
    <xf numFmtId="0" fontId="105" fillId="6" borderId="67" xfId="10" applyFont="1" applyFill="1" applyBorder="1" applyAlignment="1" applyProtection="1">
      <alignment horizontal="center" vertical="center" wrapText="1"/>
    </xf>
    <xf numFmtId="0" fontId="56" fillId="7" borderId="0" xfId="10" applyNumberFormat="1" applyFont="1" applyFill="1" applyAlignment="1" applyProtection="1">
      <alignment horizontal="center" vertical="center" wrapText="1"/>
      <protection locked="0"/>
    </xf>
    <xf numFmtId="0" fontId="260" fillId="7" borderId="0" xfId="10" applyFont="1" applyFill="1" applyAlignment="1" applyProtection="1">
      <alignment vertical="center" wrapText="1"/>
    </xf>
    <xf numFmtId="10" fontId="13" fillId="7" borderId="0" xfId="10" applyNumberFormat="1" applyFont="1" applyFill="1" applyAlignment="1" applyProtection="1">
      <alignment horizontal="center" vertical="center" wrapText="1"/>
    </xf>
    <xf numFmtId="10" fontId="13" fillId="0" borderId="0" xfId="10" applyNumberFormat="1" applyFont="1" applyAlignment="1" applyProtection="1">
      <alignment horizontal="center" vertical="center" wrapText="1"/>
    </xf>
    <xf numFmtId="0" fontId="260" fillId="0" borderId="0" xfId="10" applyFont="1" applyAlignment="1" applyProtection="1">
      <alignment horizontal="center" vertical="center" wrapText="1"/>
    </xf>
    <xf numFmtId="49" fontId="258" fillId="6" borderId="40" xfId="10" applyNumberFormat="1" applyFont="1" applyFill="1" applyBorder="1" applyAlignment="1" applyProtection="1">
      <alignment horizontal="left" vertical="center" wrapText="1"/>
    </xf>
    <xf numFmtId="0" fontId="258" fillId="6" borderId="17" xfId="10" applyFont="1" applyFill="1" applyBorder="1" applyAlignment="1" applyProtection="1">
      <alignment horizontal="left" vertical="center" wrapText="1"/>
    </xf>
    <xf numFmtId="187" fontId="53" fillId="6" borderId="17" xfId="10" applyNumberFormat="1" applyFont="1" applyFill="1" applyBorder="1" applyAlignment="1" applyProtection="1">
      <alignment horizontal="center" vertical="center" wrapText="1"/>
    </xf>
    <xf numFmtId="0" fontId="13" fillId="6" borderId="17" xfId="10" applyFont="1" applyFill="1" applyBorder="1" applyAlignment="1" applyProtection="1">
      <alignment horizontal="center" vertical="center" wrapText="1"/>
    </xf>
    <xf numFmtId="10" fontId="56" fillId="0" borderId="17" xfId="10" applyNumberFormat="1" applyFont="1" applyFill="1" applyBorder="1" applyAlignment="1" applyProtection="1">
      <alignment horizontal="center" vertical="center" wrapText="1"/>
      <protection locked="0"/>
    </xf>
    <xf numFmtId="181" fontId="105" fillId="6" borderId="17" xfId="10" applyNumberFormat="1" applyFont="1" applyFill="1" applyBorder="1" applyAlignment="1" applyProtection="1">
      <alignment horizontal="center" vertical="center" wrapText="1"/>
    </xf>
    <xf numFmtId="0" fontId="56" fillId="6" borderId="29" xfId="10" applyFont="1" applyFill="1" applyBorder="1" applyAlignment="1" applyProtection="1">
      <alignment horizontal="center" vertical="center" wrapText="1"/>
    </xf>
    <xf numFmtId="0" fontId="56" fillId="6" borderId="62" xfId="10" applyFont="1" applyFill="1" applyBorder="1" applyAlignment="1" applyProtection="1">
      <alignment horizontal="center" vertical="center" wrapText="1"/>
    </xf>
    <xf numFmtId="0" fontId="260" fillId="6" borderId="25" xfId="10" applyFont="1" applyFill="1" applyBorder="1" applyAlignment="1" applyProtection="1">
      <alignment vertical="center" wrapText="1"/>
    </xf>
    <xf numFmtId="0" fontId="61" fillId="6" borderId="49" xfId="10" applyFont="1" applyFill="1" applyBorder="1" applyAlignment="1" applyProtection="1">
      <alignment horizontal="center" vertical="center" wrapText="1"/>
    </xf>
    <xf numFmtId="0" fontId="98" fillId="6" borderId="19" xfId="8" applyFont="1" applyFill="1" applyBorder="1" applyAlignment="1" applyProtection="1">
      <alignment horizontal="center" vertical="center" wrapText="1"/>
      <protection locked="0"/>
    </xf>
    <xf numFmtId="0" fontId="98" fillId="6" borderId="9" xfId="8" applyFont="1" applyFill="1" applyBorder="1" applyAlignment="1" applyProtection="1">
      <alignment vertical="center" wrapText="1"/>
      <protection locked="0"/>
    </xf>
    <xf numFmtId="0" fontId="98" fillId="6" borderId="31" xfId="8" applyFont="1" applyFill="1" applyBorder="1" applyAlignment="1" applyProtection="1">
      <alignment vertical="center"/>
      <protection locked="0"/>
    </xf>
    <xf numFmtId="49" fontId="258" fillId="6" borderId="6" xfId="10" applyNumberFormat="1" applyFont="1" applyFill="1" applyBorder="1" applyAlignment="1" applyProtection="1">
      <alignment horizontal="left" vertical="center" wrapText="1"/>
    </xf>
    <xf numFmtId="0" fontId="258" fillId="5" borderId="9" xfId="10" applyFont="1" applyFill="1" applyBorder="1" applyAlignment="1" applyProtection="1">
      <alignment horizontal="left" vertical="center" wrapText="1"/>
      <protection locked="0"/>
    </xf>
    <xf numFmtId="0" fontId="54" fillId="16" borderId="9" xfId="10" applyFont="1" applyFill="1" applyBorder="1" applyAlignment="1" applyProtection="1">
      <alignment horizontal="center" vertical="center" wrapText="1"/>
    </xf>
    <xf numFmtId="0" fontId="260" fillId="6" borderId="19" xfId="10" applyFont="1" applyFill="1" applyBorder="1" applyAlignment="1" applyProtection="1">
      <alignment vertical="center" wrapText="1"/>
    </xf>
    <xf numFmtId="0" fontId="260" fillId="6" borderId="10" xfId="10" applyFont="1" applyFill="1" applyBorder="1" applyAlignment="1" applyProtection="1">
      <alignment vertical="center" wrapText="1"/>
    </xf>
    <xf numFmtId="0" fontId="261" fillId="6" borderId="23" xfId="8" applyFont="1" applyFill="1" applyBorder="1" applyAlignment="1" applyProtection="1">
      <alignment horizontal="center" vertical="center" wrapText="1"/>
    </xf>
    <xf numFmtId="49" fontId="260" fillId="6" borderId="11" xfId="10" applyNumberFormat="1" applyFont="1" applyFill="1" applyBorder="1" applyAlignment="1" applyProtection="1">
      <alignment horizontal="center" vertical="center" wrapText="1"/>
    </xf>
    <xf numFmtId="0" fontId="260" fillId="6" borderId="1" xfId="10" applyFont="1" applyFill="1" applyBorder="1" applyAlignment="1" applyProtection="1">
      <alignment horizontal="left" vertical="center" wrapText="1"/>
    </xf>
    <xf numFmtId="0" fontId="54" fillId="6" borderId="1" xfId="10" applyFont="1" applyFill="1" applyBorder="1" applyAlignment="1" applyProtection="1">
      <alignment horizontal="center" vertical="center" wrapText="1"/>
    </xf>
    <xf numFmtId="0" fontId="54" fillId="6" borderId="24" xfId="10" applyFont="1" applyFill="1" applyBorder="1" applyAlignment="1" applyProtection="1">
      <alignment horizontal="center" vertical="center" wrapText="1"/>
    </xf>
    <xf numFmtId="0" fontId="260" fillId="6" borderId="13" xfId="10" applyFont="1" applyFill="1" applyBorder="1" applyAlignment="1" applyProtection="1">
      <alignment horizontal="left" vertical="center" wrapText="1"/>
    </xf>
    <xf numFmtId="0" fontId="53" fillId="6" borderId="15" xfId="10" applyFont="1" applyFill="1" applyBorder="1" applyAlignment="1" applyProtection="1">
      <alignment horizontal="center" vertical="center" wrapText="1"/>
    </xf>
    <xf numFmtId="187" fontId="13" fillId="6" borderId="15" xfId="10" applyNumberFormat="1" applyFont="1" applyFill="1" applyBorder="1" applyAlignment="1" applyProtection="1">
      <alignment horizontal="center" vertical="center" wrapText="1"/>
    </xf>
    <xf numFmtId="187" fontId="13" fillId="6" borderId="58" xfId="10" applyNumberFormat="1" applyFont="1" applyFill="1" applyBorder="1" applyAlignment="1" applyProtection="1">
      <alignment horizontal="center" vertical="center" wrapText="1"/>
    </xf>
    <xf numFmtId="0" fontId="13" fillId="6" borderId="22" xfId="10" applyFont="1" applyFill="1" applyBorder="1" applyAlignment="1" applyProtection="1">
      <alignment vertical="center" wrapText="1"/>
    </xf>
    <xf numFmtId="0" fontId="260" fillId="6" borderId="13" xfId="10" applyFont="1" applyFill="1" applyBorder="1" applyAlignment="1" applyProtection="1">
      <alignment vertical="center" wrapText="1"/>
    </xf>
    <xf numFmtId="0" fontId="260" fillId="6" borderId="61" xfId="10" applyFont="1" applyFill="1" applyBorder="1" applyAlignment="1" applyProtection="1">
      <alignment vertical="center" wrapText="1"/>
    </xf>
    <xf numFmtId="0" fontId="260" fillId="6" borderId="84" xfId="10" applyFont="1" applyFill="1" applyBorder="1" applyAlignment="1" applyProtection="1">
      <alignment vertical="center" wrapText="1"/>
    </xf>
    <xf numFmtId="0" fontId="260" fillId="6" borderId="67" xfId="10" applyFont="1" applyFill="1" applyBorder="1" applyAlignment="1" applyProtection="1">
      <alignment vertical="center" wrapText="1"/>
    </xf>
    <xf numFmtId="0" fontId="261" fillId="6" borderId="25" xfId="8" applyFont="1" applyFill="1" applyBorder="1" applyAlignment="1" applyProtection="1">
      <alignment horizontal="center" vertical="center" wrapText="1"/>
    </xf>
    <xf numFmtId="0" fontId="258" fillId="6" borderId="28" xfId="10" applyFont="1" applyFill="1" applyBorder="1" applyAlignment="1" applyProtection="1">
      <alignment horizontal="left" vertical="center" wrapText="1"/>
    </xf>
    <xf numFmtId="0" fontId="57" fillId="6" borderId="20" xfId="10" applyFont="1" applyFill="1" applyBorder="1" applyAlignment="1" applyProtection="1">
      <alignment horizontal="center" vertical="center" wrapText="1"/>
    </xf>
    <xf numFmtId="0" fontId="12" fillId="6" borderId="19" xfId="10" applyFont="1" applyFill="1" applyBorder="1" applyAlignment="1" applyProtection="1">
      <alignment vertical="center" wrapText="1"/>
    </xf>
    <xf numFmtId="0" fontId="98" fillId="6" borderId="26" xfId="8" applyFont="1" applyFill="1" applyBorder="1" applyAlignment="1" applyProtection="1">
      <alignment horizontal="center" vertical="center" wrapText="1"/>
      <protection locked="0"/>
    </xf>
    <xf numFmtId="49" fontId="258" fillId="6" borderId="14" xfId="10" applyNumberFormat="1" applyFont="1" applyFill="1" applyBorder="1" applyAlignment="1" applyProtection="1">
      <alignment horizontal="center" vertical="center" wrapText="1"/>
    </xf>
    <xf numFmtId="0" fontId="57" fillId="6" borderId="1" xfId="10" applyFont="1" applyFill="1" applyBorder="1" applyAlignment="1" applyProtection="1">
      <alignment horizontal="center" vertical="center" wrapText="1"/>
    </xf>
    <xf numFmtId="0" fontId="13" fillId="6" borderId="58" xfId="10" applyFont="1" applyFill="1" applyBorder="1" applyAlignment="1" applyProtection="1">
      <alignment vertical="center" wrapText="1"/>
    </xf>
    <xf numFmtId="0" fontId="12" fillId="6" borderId="0" xfId="10" applyFont="1" applyFill="1" applyBorder="1" applyAlignment="1" applyProtection="1">
      <alignment vertical="center" wrapText="1"/>
    </xf>
    <xf numFmtId="0" fontId="13" fillId="6" borderId="56" xfId="10" applyFont="1" applyFill="1" applyBorder="1" applyAlignment="1" applyProtection="1">
      <alignment vertical="center" wrapText="1"/>
    </xf>
    <xf numFmtId="0" fontId="260" fillId="6" borderId="0" xfId="10" applyFont="1" applyFill="1" applyBorder="1" applyAlignment="1" applyProtection="1">
      <alignment horizontal="left" vertical="center" wrapText="1"/>
    </xf>
    <xf numFmtId="0" fontId="57" fillId="6" borderId="15" xfId="10" applyFont="1" applyFill="1" applyBorder="1" applyAlignment="1" applyProtection="1">
      <alignment horizontal="center" vertical="center" wrapText="1"/>
    </xf>
    <xf numFmtId="0" fontId="13" fillId="6" borderId="75" xfId="10" applyFont="1" applyFill="1" applyBorder="1" applyAlignment="1" applyProtection="1">
      <alignment vertical="center" wrapText="1"/>
    </xf>
    <xf numFmtId="0" fontId="13" fillId="6" borderId="47" xfId="10" applyFont="1" applyFill="1" applyBorder="1" applyAlignment="1" applyProtection="1">
      <alignment vertical="center" wrapText="1"/>
    </xf>
    <xf numFmtId="0" fontId="12" fillId="6" borderId="47" xfId="10" applyFont="1" applyFill="1" applyBorder="1" applyAlignment="1" applyProtection="1">
      <alignment vertical="center" wrapText="1"/>
    </xf>
    <xf numFmtId="0" fontId="13" fillId="6" borderId="43" xfId="10" applyFont="1" applyFill="1" applyBorder="1" applyAlignment="1" applyProtection="1">
      <alignment vertical="center" wrapText="1"/>
    </xf>
    <xf numFmtId="49" fontId="258" fillId="6" borderId="40" xfId="10" applyNumberFormat="1" applyFont="1" applyFill="1" applyBorder="1" applyAlignment="1" applyProtection="1">
      <alignment horizontal="center" vertical="center" wrapText="1"/>
    </xf>
    <xf numFmtId="0" fontId="12" fillId="6" borderId="30" xfId="10" applyFont="1" applyFill="1" applyBorder="1" applyAlignment="1" applyProtection="1">
      <alignment vertical="center" wrapText="1"/>
    </xf>
    <xf numFmtId="0" fontId="258" fillId="6" borderId="9" xfId="10" applyFont="1" applyFill="1" applyBorder="1" applyAlignment="1" applyProtection="1">
      <alignment horizontal="center" vertical="center" wrapText="1"/>
    </xf>
    <xf numFmtId="0" fontId="258" fillId="6" borderId="28" xfId="10" applyFont="1" applyFill="1" applyBorder="1" applyAlignment="1" applyProtection="1">
      <alignment horizontal="center" vertical="center" wrapText="1"/>
    </xf>
    <xf numFmtId="0" fontId="12" fillId="6" borderId="28" xfId="10" applyFont="1" applyFill="1" applyBorder="1" applyAlignment="1" applyProtection="1">
      <alignment vertical="center" wrapText="1"/>
    </xf>
    <xf numFmtId="0" fontId="13" fillId="6" borderId="14" xfId="10" applyFont="1" applyFill="1" applyBorder="1" applyAlignment="1" applyProtection="1">
      <alignment horizontal="center" vertical="center" wrapText="1"/>
    </xf>
    <xf numFmtId="0" fontId="13" fillId="6" borderId="3" xfId="10" applyFont="1" applyFill="1" applyBorder="1" applyAlignment="1" applyProtection="1">
      <alignment horizontal="left" vertical="center" wrapText="1"/>
    </xf>
    <xf numFmtId="0" fontId="13" fillId="0" borderId="1" xfId="10" applyFont="1" applyBorder="1" applyAlignment="1" applyProtection="1">
      <alignment vertical="center" wrapText="1"/>
      <protection locked="0"/>
    </xf>
    <xf numFmtId="0" fontId="264" fillId="6" borderId="1" xfId="10" applyFont="1" applyFill="1" applyBorder="1" applyAlignment="1" applyProtection="1">
      <alignment horizontal="center" vertical="center"/>
    </xf>
    <xf numFmtId="0" fontId="264" fillId="6" borderId="5" xfId="10" applyFont="1" applyFill="1" applyBorder="1" applyAlignment="1" applyProtection="1">
      <alignment vertical="center"/>
    </xf>
    <xf numFmtId="0" fontId="264" fillId="6" borderId="54" xfId="10" applyFont="1" applyFill="1" applyBorder="1" applyAlignment="1" applyProtection="1">
      <alignment vertical="center"/>
    </xf>
    <xf numFmtId="0" fontId="264" fillId="6" borderId="48" xfId="10" applyFont="1" applyFill="1" applyBorder="1" applyAlignment="1" applyProtection="1">
      <alignment vertical="center"/>
    </xf>
    <xf numFmtId="0" fontId="12" fillId="6" borderId="12" xfId="10" applyFont="1" applyFill="1" applyBorder="1" applyAlignment="1" applyProtection="1">
      <alignment vertical="center" wrapText="1"/>
    </xf>
    <xf numFmtId="0" fontId="13" fillId="6" borderId="66" xfId="10" applyFont="1" applyFill="1" applyBorder="1" applyAlignment="1" applyProtection="1">
      <alignment horizontal="left" vertical="center" wrapText="1"/>
    </xf>
    <xf numFmtId="0" fontId="13" fillId="0" borderId="32" xfId="10" applyFont="1" applyBorder="1" applyAlignment="1" applyProtection="1">
      <alignment vertical="center" wrapText="1"/>
      <protection locked="0"/>
    </xf>
    <xf numFmtId="0" fontId="13" fillId="6" borderId="32" xfId="10" applyFont="1" applyFill="1" applyBorder="1" applyAlignment="1" applyProtection="1">
      <alignment vertical="center"/>
    </xf>
    <xf numFmtId="0" fontId="13" fillId="6" borderId="52" xfId="10" applyFont="1" applyFill="1" applyBorder="1" applyAlignment="1" applyProtection="1">
      <alignment vertical="center" wrapText="1"/>
    </xf>
    <xf numFmtId="0" fontId="13" fillId="6" borderId="68" xfId="10" applyFont="1" applyFill="1" applyBorder="1" applyAlignment="1" applyProtection="1">
      <alignment vertical="center" wrapText="1"/>
    </xf>
    <xf numFmtId="0" fontId="12" fillId="6" borderId="40" xfId="10" applyFont="1" applyFill="1" applyBorder="1" applyAlignment="1" applyProtection="1">
      <alignment vertical="center" wrapText="1"/>
    </xf>
    <xf numFmtId="0" fontId="12" fillId="6" borderId="39" xfId="10" applyFont="1" applyFill="1" applyBorder="1" applyAlignment="1" applyProtection="1">
      <alignment horizontal="left" vertical="center" wrapText="1"/>
    </xf>
    <xf numFmtId="0" fontId="13" fillId="6" borderId="20" xfId="10" applyFont="1" applyFill="1" applyBorder="1" applyAlignment="1" applyProtection="1">
      <alignment vertical="center"/>
    </xf>
    <xf numFmtId="0" fontId="13" fillId="6" borderId="30" xfId="10" applyFont="1" applyFill="1" applyBorder="1" applyAlignment="1" applyProtection="1">
      <alignment vertical="center"/>
    </xf>
    <xf numFmtId="0" fontId="12" fillId="6" borderId="7" xfId="10" applyFont="1" applyFill="1" applyBorder="1" applyAlignment="1" applyProtection="1">
      <alignment vertical="center" wrapText="1"/>
    </xf>
    <xf numFmtId="0" fontId="258" fillId="6" borderId="3" xfId="10" applyFont="1" applyFill="1" applyBorder="1" applyAlignment="1" applyProtection="1">
      <alignment horizontal="center" vertical="center" wrapText="1"/>
    </xf>
    <xf numFmtId="0" fontId="258" fillId="6" borderId="1" xfId="10" applyFont="1" applyFill="1" applyBorder="1" applyAlignment="1" applyProtection="1">
      <alignment horizontal="center" vertical="center" wrapText="1"/>
    </xf>
    <xf numFmtId="0" fontId="258" fillId="6" borderId="2" xfId="10" applyFont="1" applyFill="1" applyBorder="1" applyAlignment="1" applyProtection="1">
      <alignment horizontal="center" vertical="center" wrapText="1"/>
    </xf>
    <xf numFmtId="0" fontId="13" fillId="6" borderId="8" xfId="10" applyFont="1" applyFill="1" applyBorder="1" applyAlignment="1" applyProtection="1">
      <alignment vertical="center"/>
    </xf>
    <xf numFmtId="0" fontId="12" fillId="6" borderId="14" xfId="10" applyFont="1" applyFill="1" applyBorder="1" applyAlignment="1" applyProtection="1">
      <alignment vertical="center" wrapText="1"/>
    </xf>
    <xf numFmtId="0" fontId="264" fillId="6" borderId="7" xfId="10" applyFont="1" applyFill="1" applyBorder="1" applyAlignment="1" applyProtection="1">
      <alignment horizontal="center" vertical="center" wrapText="1"/>
    </xf>
    <xf numFmtId="0" fontId="13" fillId="6" borderId="56" xfId="10" applyFont="1" applyFill="1" applyBorder="1" applyAlignment="1" applyProtection="1">
      <alignment horizontal="center" vertical="center" wrapText="1"/>
    </xf>
    <xf numFmtId="0" fontId="13" fillId="7" borderId="0" xfId="10" applyFont="1" applyFill="1" applyAlignment="1" applyProtection="1">
      <alignment horizontal="center" vertical="center" wrapText="1"/>
      <protection locked="0"/>
    </xf>
    <xf numFmtId="0" fontId="13" fillId="6" borderId="16" xfId="10" applyFont="1" applyFill="1" applyBorder="1" applyAlignment="1" applyProtection="1">
      <alignment vertical="center"/>
      <protection locked="0"/>
    </xf>
    <xf numFmtId="0" fontId="13" fillId="6" borderId="31" xfId="10" applyFont="1" applyFill="1" applyBorder="1" applyAlignment="1" applyProtection="1">
      <alignment vertical="center" wrapText="1"/>
      <protection locked="0"/>
    </xf>
    <xf numFmtId="0" fontId="13" fillId="6" borderId="23" xfId="10" applyFont="1" applyFill="1" applyBorder="1" applyAlignment="1" applyProtection="1">
      <alignment vertical="center"/>
    </xf>
    <xf numFmtId="9" fontId="13" fillId="6" borderId="24" xfId="10" applyNumberFormat="1" applyFont="1" applyFill="1" applyBorder="1" applyAlignment="1" applyProtection="1">
      <alignment horizontal="center" vertical="center"/>
    </xf>
    <xf numFmtId="0" fontId="264" fillId="6" borderId="66" xfId="10" applyFont="1" applyFill="1" applyBorder="1" applyAlignment="1" applyProtection="1">
      <alignment horizontal="center" vertical="center" wrapText="1"/>
    </xf>
    <xf numFmtId="0" fontId="57" fillId="6" borderId="32" xfId="10" applyFont="1" applyFill="1" applyBorder="1" applyAlignment="1" applyProtection="1">
      <alignment horizontal="center" vertical="center" wrapText="1"/>
    </xf>
    <xf numFmtId="0" fontId="13" fillId="6" borderId="43" xfId="10" applyFont="1" applyFill="1" applyBorder="1" applyAlignment="1" applyProtection="1">
      <alignment horizontal="center" vertical="center" wrapText="1"/>
    </xf>
    <xf numFmtId="0" fontId="13" fillId="6" borderId="25" xfId="10" applyFont="1" applyFill="1" applyBorder="1" applyAlignment="1" applyProtection="1">
      <alignment vertical="center" wrapText="1"/>
    </xf>
    <xf numFmtId="9" fontId="13" fillId="6" borderId="49" xfId="10" applyNumberFormat="1" applyFont="1" applyFill="1" applyBorder="1" applyAlignment="1" applyProtection="1">
      <alignment horizontal="center" vertical="center" wrapText="1"/>
    </xf>
    <xf numFmtId="0" fontId="13" fillId="7" borderId="0" xfId="10" applyFont="1" applyFill="1" applyAlignment="1" applyProtection="1">
      <alignment horizontal="left" vertical="center" wrapText="1"/>
      <protection locked="0"/>
    </xf>
    <xf numFmtId="0" fontId="114" fillId="6" borderId="0" xfId="10" applyFont="1" applyFill="1" applyProtection="1">
      <alignment vertical="center"/>
    </xf>
    <xf numFmtId="187" fontId="99" fillId="6" borderId="0" xfId="10" applyNumberFormat="1" applyFill="1" applyAlignment="1" applyProtection="1">
      <alignment horizontal="center" vertical="center" wrapText="1"/>
    </xf>
    <xf numFmtId="0" fontId="102" fillId="6" borderId="0" xfId="10" applyFont="1" applyFill="1" applyProtection="1">
      <alignment vertical="center"/>
    </xf>
    <xf numFmtId="0" fontId="104" fillId="6" borderId="0" xfId="10" applyFont="1" applyFill="1" applyProtection="1">
      <alignment vertical="center"/>
    </xf>
    <xf numFmtId="0" fontId="104" fillId="6" borderId="0" xfId="10" applyFont="1" applyFill="1" applyAlignment="1" applyProtection="1">
      <alignment horizontal="center" vertical="center"/>
    </xf>
    <xf numFmtId="0" fontId="99" fillId="6" borderId="0" xfId="10" applyFill="1" applyAlignment="1" applyProtection="1">
      <alignment horizontal="center" vertical="center"/>
    </xf>
    <xf numFmtId="0" fontId="99" fillId="6" borderId="0" xfId="10" applyFill="1" applyProtection="1">
      <alignment vertical="center"/>
    </xf>
    <xf numFmtId="0" fontId="114" fillId="6" borderId="51" xfId="10" applyFont="1" applyFill="1" applyBorder="1" applyAlignment="1" applyProtection="1">
      <alignment vertical="center"/>
    </xf>
    <xf numFmtId="187" fontId="100" fillId="6" borderId="19" xfId="10" applyNumberFormat="1" applyFont="1" applyFill="1" applyBorder="1" applyAlignment="1" applyProtection="1">
      <alignment horizontal="center" vertical="center" wrapText="1"/>
    </xf>
    <xf numFmtId="0" fontId="102" fillId="6" borderId="19" xfId="10" applyFont="1" applyFill="1" applyBorder="1" applyProtection="1">
      <alignment vertical="center"/>
    </xf>
    <xf numFmtId="0" fontId="115" fillId="6" borderId="20" xfId="10" applyFont="1" applyFill="1" applyBorder="1" applyAlignment="1" applyProtection="1">
      <alignment vertical="center"/>
    </xf>
    <xf numFmtId="0" fontId="115" fillId="6" borderId="21" xfId="10" applyFont="1" applyFill="1" applyBorder="1" applyAlignment="1" applyProtection="1">
      <alignment horizontal="center" vertical="center"/>
    </xf>
    <xf numFmtId="0" fontId="114" fillId="6" borderId="0" xfId="10" applyFont="1" applyFill="1" applyBorder="1" applyAlignment="1" applyProtection="1">
      <alignment horizontal="center" vertical="center"/>
    </xf>
    <xf numFmtId="0" fontId="113" fillId="6" borderId="23" xfId="10" applyFont="1" applyFill="1" applyBorder="1" applyAlignment="1" applyProtection="1">
      <alignment horizontal="center" vertical="center" wrapText="1"/>
    </xf>
    <xf numFmtId="0" fontId="113" fillId="6" borderId="1" xfId="10" applyFont="1" applyFill="1" applyBorder="1" applyAlignment="1" applyProtection="1">
      <alignment horizontal="center" vertical="center" wrapText="1"/>
    </xf>
    <xf numFmtId="0" fontId="264" fillId="6" borderId="1"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56" fillId="6" borderId="24" xfId="10" applyFont="1" applyFill="1" applyBorder="1" applyAlignment="1" applyProtection="1">
      <alignment horizontal="center" vertical="center" wrapText="1"/>
    </xf>
    <xf numFmtId="0" fontId="138" fillId="6" borderId="58" xfId="10" applyFont="1" applyFill="1" applyBorder="1" applyAlignment="1" applyProtection="1">
      <alignment horizontal="center" vertical="center" wrapText="1"/>
    </xf>
    <xf numFmtId="0" fontId="138" fillId="6" borderId="1" xfId="10"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49" fontId="113" fillId="6" borderId="1" xfId="10" applyNumberFormat="1" applyFont="1" applyFill="1" applyBorder="1" applyAlignment="1" applyProtection="1">
      <alignment horizontal="center" vertical="center" wrapText="1"/>
    </xf>
    <xf numFmtId="10" fontId="105" fillId="6" borderId="1" xfId="10" applyNumberFormat="1" applyFont="1" applyFill="1" applyBorder="1" applyAlignment="1" applyProtection="1">
      <alignment horizontal="center" vertical="center" wrapText="1"/>
    </xf>
    <xf numFmtId="10" fontId="56" fillId="6" borderId="61" xfId="10" applyNumberFormat="1" applyFont="1" applyFill="1" applyBorder="1" applyAlignment="1" applyProtection="1">
      <alignment horizontal="center" vertical="center" wrapText="1"/>
    </xf>
    <xf numFmtId="10" fontId="19" fillId="6" borderId="0" xfId="10" applyNumberFormat="1" applyFont="1" applyFill="1" applyBorder="1" applyAlignment="1" applyProtection="1">
      <alignment horizontal="center" vertical="center" wrapText="1"/>
    </xf>
    <xf numFmtId="10" fontId="104" fillId="0" borderId="1" xfId="10" applyNumberFormat="1" applyFont="1" applyBorder="1" applyAlignment="1" applyProtection="1">
      <alignment horizontal="center" vertical="center"/>
      <protection locked="0"/>
    </xf>
    <xf numFmtId="10" fontId="104" fillId="6" borderId="1" xfId="10" applyNumberFormat="1" applyFont="1" applyFill="1" applyBorder="1" applyAlignment="1" applyProtection="1">
      <alignment horizontal="center" vertical="center"/>
    </xf>
    <xf numFmtId="9" fontId="105" fillId="6" borderId="1" xfId="10" applyNumberFormat="1" applyFont="1" applyFill="1" applyBorder="1" applyAlignment="1" applyProtection="1">
      <alignment horizontal="center" vertical="center" wrapText="1"/>
    </xf>
    <xf numFmtId="10" fontId="54" fillId="6" borderId="1" xfId="10" applyNumberFormat="1" applyFont="1" applyFill="1" applyBorder="1" applyAlignment="1" applyProtection="1">
      <alignment horizontal="center" vertical="center" wrapText="1"/>
    </xf>
    <xf numFmtId="0" fontId="113" fillId="6" borderId="1"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vertical="center" wrapText="1"/>
    </xf>
    <xf numFmtId="0" fontId="113" fillId="0" borderId="1" xfId="10" applyNumberFormat="1" applyFont="1" applyFill="1" applyBorder="1" applyAlignment="1" applyProtection="1">
      <alignment horizontal="center" vertical="center" wrapText="1"/>
      <protection locked="0"/>
    </xf>
    <xf numFmtId="0" fontId="113" fillId="0" borderId="13" xfId="10" applyNumberFormat="1" applyFont="1" applyFill="1" applyBorder="1" applyAlignment="1" applyProtection="1">
      <alignment horizontal="center" vertical="center" wrapText="1"/>
      <protection locked="0"/>
    </xf>
    <xf numFmtId="0" fontId="113" fillId="6" borderId="37" xfId="10" applyFont="1" applyFill="1" applyBorder="1" applyAlignment="1" applyProtection="1">
      <alignment horizontal="center" vertical="center" wrapText="1"/>
    </xf>
    <xf numFmtId="0" fontId="113" fillId="6" borderId="13" xfId="10" applyNumberFormat="1" applyFont="1" applyFill="1" applyBorder="1" applyAlignment="1" applyProtection="1">
      <alignment horizontal="center" vertical="center" wrapText="1"/>
    </xf>
    <xf numFmtId="0" fontId="113" fillId="6" borderId="25" xfId="10" applyFont="1" applyFill="1" applyBorder="1" applyAlignment="1" applyProtection="1">
      <alignment horizontal="center" vertical="center" wrapText="1"/>
    </xf>
    <xf numFmtId="49" fontId="113" fillId="6" borderId="74" xfId="10" applyNumberFormat="1" applyFont="1" applyFill="1" applyBorder="1" applyAlignment="1" applyProtection="1">
      <alignment horizontal="center" vertical="center" wrapText="1"/>
    </xf>
    <xf numFmtId="10" fontId="56" fillId="6" borderId="76" xfId="10" applyNumberFormat="1" applyFont="1" applyFill="1" applyBorder="1" applyAlignment="1" applyProtection="1">
      <alignment vertical="center" wrapText="1"/>
    </xf>
    <xf numFmtId="9" fontId="105" fillId="6" borderId="32" xfId="10" applyNumberFormat="1" applyFont="1" applyFill="1" applyBorder="1" applyAlignment="1" applyProtection="1">
      <alignment horizontal="center" vertical="center" wrapText="1"/>
    </xf>
    <xf numFmtId="0" fontId="265" fillId="6" borderId="20" xfId="10" applyFont="1" applyFill="1" applyBorder="1" applyAlignment="1" applyProtection="1">
      <alignment vertical="center"/>
    </xf>
    <xf numFmtId="0" fontId="264" fillId="16" borderId="1" xfId="10" applyFont="1" applyFill="1" applyBorder="1" applyAlignment="1" applyProtection="1">
      <alignment horizontal="center" vertical="center" wrapText="1"/>
      <protection locked="0"/>
    </xf>
    <xf numFmtId="10" fontId="104" fillId="16" borderId="1" xfId="10" applyNumberFormat="1" applyFont="1" applyFill="1" applyBorder="1" applyAlignment="1" applyProtection="1">
      <alignment horizontal="center" vertical="center"/>
      <protection locked="0"/>
    </xf>
    <xf numFmtId="49" fontId="113" fillId="6" borderId="32"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horizontal="center" vertical="center" wrapText="1"/>
    </xf>
    <xf numFmtId="0" fontId="13" fillId="0" borderId="0" xfId="10" applyFont="1" applyAlignment="1" applyProtection="1">
      <alignment horizontal="center" vertical="center" wrapText="1"/>
      <protection locked="0"/>
    </xf>
    <xf numFmtId="0" fontId="113" fillId="0" borderId="32" xfId="10" applyNumberFormat="1" applyFont="1" applyFill="1" applyBorder="1" applyAlignment="1" applyProtection="1">
      <alignment horizontal="center" vertical="center" wrapText="1"/>
      <protection locked="0"/>
    </xf>
    <xf numFmtId="10" fontId="56" fillId="6" borderId="76" xfId="10" applyNumberFormat="1" applyFont="1" applyFill="1" applyBorder="1" applyAlignment="1" applyProtection="1">
      <alignment horizontal="center" vertical="center" wrapText="1"/>
    </xf>
    <xf numFmtId="0" fontId="113" fillId="6" borderId="32"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5" xfId="10" applyFont="1" applyFill="1" applyBorder="1" applyAlignment="1" applyProtection="1">
      <alignment vertical="center"/>
    </xf>
    <xf numFmtId="0" fontId="113" fillId="6" borderId="54" xfId="10" applyFont="1" applyFill="1" applyBorder="1" applyAlignment="1" applyProtection="1">
      <alignment vertical="center"/>
    </xf>
    <xf numFmtId="0" fontId="113" fillId="6" borderId="3" xfId="10" applyFont="1" applyFill="1" applyBorder="1" applyAlignment="1" applyProtection="1">
      <alignment vertical="center"/>
    </xf>
    <xf numFmtId="0" fontId="113" fillId="6" borderId="0" xfId="10" applyFont="1" applyFill="1" applyBorder="1" applyAlignment="1" applyProtection="1">
      <alignment horizontal="center" vertical="center"/>
    </xf>
    <xf numFmtId="0" fontId="113" fillId="6" borderId="1" xfId="10" applyFont="1" applyFill="1" applyBorder="1" applyAlignment="1" applyProtection="1">
      <alignment horizontal="center" vertical="center"/>
    </xf>
    <xf numFmtId="186" fontId="113" fillId="6" borderId="1" xfId="10" applyNumberFormat="1" applyFont="1" applyFill="1" applyBorder="1" applyAlignment="1" applyProtection="1">
      <alignment horizontal="center" vertical="center"/>
    </xf>
    <xf numFmtId="187" fontId="113" fillId="6" borderId="1" xfId="10" applyNumberFormat="1" applyFont="1" applyFill="1" applyBorder="1" applyAlignment="1" applyProtection="1">
      <alignment horizontal="center" vertical="center"/>
    </xf>
    <xf numFmtId="177" fontId="267" fillId="6" borderId="1" xfId="10" applyNumberFormat="1" applyFont="1" applyFill="1" applyBorder="1" applyAlignment="1" applyProtection="1">
      <alignment horizontal="center" vertical="center"/>
    </xf>
    <xf numFmtId="187" fontId="267" fillId="6" borderId="1" xfId="10" applyNumberFormat="1" applyFont="1" applyFill="1" applyBorder="1" applyAlignment="1" applyProtection="1">
      <alignment horizontal="center" vertical="center" wrapText="1"/>
    </xf>
    <xf numFmtId="186" fontId="113" fillId="6" borderId="2" xfId="10" applyNumberFormat="1" applyFont="1" applyFill="1" applyBorder="1" applyAlignment="1" applyProtection="1">
      <alignment horizontal="center" vertical="center" wrapText="1"/>
    </xf>
    <xf numFmtId="179" fontId="267" fillId="6" borderId="1" xfId="10" applyNumberFormat="1" applyFont="1" applyFill="1" applyBorder="1" applyAlignment="1" applyProtection="1">
      <alignment horizontal="center" vertical="center"/>
    </xf>
    <xf numFmtId="0" fontId="113" fillId="0" borderId="0" xfId="10" applyFont="1" applyAlignment="1" applyProtection="1">
      <alignment horizontal="left" vertical="center"/>
    </xf>
    <xf numFmtId="0" fontId="13" fillId="0" borderId="0" xfId="10" applyFont="1" applyAlignment="1" applyProtection="1">
      <alignment horizontal="left" vertical="center" wrapText="1"/>
    </xf>
    <xf numFmtId="0" fontId="56" fillId="6" borderId="15" xfId="10" applyNumberFormat="1" applyFont="1" applyFill="1" applyBorder="1" applyAlignment="1" applyProtection="1">
      <alignment horizontal="center" vertical="center" wrapText="1"/>
    </xf>
    <xf numFmtId="179" fontId="120" fillId="6" borderId="15" xfId="10" applyNumberFormat="1" applyFont="1" applyFill="1" applyBorder="1" applyAlignment="1" applyProtection="1">
      <alignment horizontal="center" vertical="center" wrapText="1"/>
    </xf>
    <xf numFmtId="0" fontId="56" fillId="6" borderId="17" xfId="10" applyNumberFormat="1" applyFont="1" applyFill="1" applyBorder="1" applyAlignment="1" applyProtection="1">
      <alignment horizontal="center" vertical="center" wrapText="1"/>
    </xf>
    <xf numFmtId="0" fontId="120" fillId="6" borderId="19" xfId="10" applyNumberFormat="1" applyFont="1" applyFill="1" applyBorder="1" applyAlignment="1" applyProtection="1">
      <alignment horizontal="center" vertical="center" wrapText="1"/>
    </xf>
    <xf numFmtId="0" fontId="268" fillId="6" borderId="1" xfId="3" applyNumberFormat="1" applyFont="1" applyFill="1" applyBorder="1" applyAlignment="1" applyProtection="1">
      <alignment horizontal="center" vertical="center"/>
    </xf>
    <xf numFmtId="0" fontId="99" fillId="0" borderId="0" xfId="10" applyNumberFormat="1" applyProtection="1">
      <alignment vertical="center"/>
    </xf>
    <xf numFmtId="0" fontId="56" fillId="6" borderId="16" xfId="10" applyNumberFormat="1" applyFont="1" applyFill="1" applyBorder="1" applyAlignment="1" applyProtection="1">
      <alignment vertical="center" wrapText="1"/>
    </xf>
    <xf numFmtId="0" fontId="82" fillId="6" borderId="9"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wrapText="1"/>
    </xf>
    <xf numFmtId="0" fontId="82" fillId="6" borderId="17" xfId="3" applyNumberFormat="1" applyFont="1" applyFill="1" applyBorder="1" applyAlignment="1" applyProtection="1">
      <alignment horizontal="center" vertical="center"/>
    </xf>
    <xf numFmtId="0" fontId="82" fillId="6" borderId="62" xfId="3" applyNumberFormat="1" applyFont="1" applyFill="1" applyBorder="1" applyAlignment="1" applyProtection="1">
      <alignment horizontal="center" vertical="center"/>
    </xf>
    <xf numFmtId="0" fontId="56" fillId="6" borderId="23" xfId="10" applyNumberFormat="1" applyFont="1" applyFill="1" applyBorder="1" applyAlignment="1" applyProtection="1">
      <alignment horizontal="center" vertical="center" wrapText="1"/>
    </xf>
    <xf numFmtId="0" fontId="120" fillId="6" borderId="1" xfId="10" applyNumberFormat="1" applyFont="1" applyFill="1" applyBorder="1" applyAlignment="1" applyProtection="1">
      <alignment horizontal="center" vertical="center" wrapText="1"/>
    </xf>
    <xf numFmtId="0" fontId="120" fillId="6" borderId="24" xfId="10" applyNumberFormat="1" applyFont="1" applyFill="1" applyBorder="1" applyAlignment="1" applyProtection="1">
      <alignment horizontal="center" vertical="center" wrapText="1"/>
    </xf>
    <xf numFmtId="0" fontId="13" fillId="6" borderId="23" xfId="10" applyNumberFormat="1" applyFont="1" applyFill="1" applyBorder="1" applyAlignment="1" applyProtection="1">
      <alignment horizontal="center" vertical="center" wrapText="1"/>
    </xf>
    <xf numFmtId="0" fontId="56" fillId="6" borderId="25" xfId="10" applyNumberFormat="1" applyFont="1" applyFill="1" applyBorder="1" applyAlignment="1" applyProtection="1">
      <alignment horizontal="center" vertical="center" wrapText="1"/>
    </xf>
    <xf numFmtId="0" fontId="120" fillId="6" borderId="32" xfId="10" applyNumberFormat="1" applyFont="1" applyFill="1" applyBorder="1" applyAlignment="1" applyProtection="1">
      <alignment horizontal="center" vertical="center" wrapText="1"/>
    </xf>
    <xf numFmtId="0" fontId="120" fillId="6" borderId="49" xfId="10" applyNumberFormat="1"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47" fillId="0" borderId="2" xfId="0" applyNumberFormat="1" applyFont="1" applyBorder="1" applyAlignment="1" applyProtection="1">
      <alignment horizontal="center" vertical="center" wrapText="1"/>
      <protection locked="0"/>
    </xf>
    <xf numFmtId="49" fontId="13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0" fillId="0" borderId="1" xfId="0" applyNumberFormat="1" applyBorder="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10" borderId="1" xfId="0" applyFont="1" applyFill="1" applyBorder="1" applyAlignment="1">
      <alignment horizontal="center" vertical="center"/>
    </xf>
    <xf numFmtId="0" fontId="99" fillId="16" borderId="1" xfId="0" applyFont="1" applyFill="1" applyBorder="1" applyAlignment="1">
      <alignment horizontal="center" vertical="center"/>
    </xf>
    <xf numFmtId="0" fontId="99" fillId="15" borderId="1"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3" fillId="6" borderId="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56" fillId="6" borderId="85" xfId="10" applyFont="1" applyFill="1" applyBorder="1" applyAlignment="1" applyProtection="1">
      <alignment vertical="center"/>
    </xf>
    <xf numFmtId="0" fontId="269" fillId="6" borderId="88" xfId="10" applyFont="1" applyFill="1" applyBorder="1" applyAlignment="1" applyProtection="1">
      <alignment horizontal="center" vertical="center"/>
    </xf>
    <xf numFmtId="0" fontId="269" fillId="2" borderId="88" xfId="10" applyFont="1" applyFill="1" applyBorder="1" applyAlignment="1" applyProtection="1">
      <alignment vertical="center"/>
      <protection locked="0"/>
    </xf>
    <xf numFmtId="0" fontId="269" fillId="5" borderId="78" xfId="10" applyFont="1" applyFill="1" applyBorder="1" applyAlignment="1" applyProtection="1">
      <alignment horizontal="center" vertical="center"/>
      <protection locked="0"/>
    </xf>
    <xf numFmtId="0" fontId="30" fillId="6" borderId="88" xfId="10" applyFont="1" applyFill="1" applyBorder="1" applyAlignment="1" applyProtection="1">
      <alignment vertical="center"/>
    </xf>
    <xf numFmtId="0" fontId="269" fillId="6" borderId="88" xfId="10" applyFont="1" applyFill="1" applyBorder="1" applyAlignment="1" applyProtection="1">
      <alignment vertical="center"/>
    </xf>
    <xf numFmtId="189" fontId="269" fillId="6" borderId="88" xfId="10" applyNumberFormat="1" applyFont="1" applyFill="1" applyBorder="1" applyAlignment="1" applyProtection="1">
      <alignment horizontal="center" vertical="center"/>
    </xf>
    <xf numFmtId="181" fontId="269" fillId="6" borderId="88" xfId="10" applyNumberFormat="1" applyFont="1" applyFill="1" applyBorder="1" applyAlignment="1" applyProtection="1">
      <alignment vertical="center"/>
    </xf>
    <xf numFmtId="0" fontId="270" fillId="0" borderId="87" xfId="10" applyFont="1" applyFill="1" applyBorder="1" applyAlignment="1" applyProtection="1">
      <alignment horizontal="center" vertical="center"/>
      <protection locked="0"/>
    </xf>
    <xf numFmtId="0" fontId="21" fillId="6" borderId="2" xfId="1" applyFont="1" applyFill="1" applyBorder="1" applyAlignment="1" applyProtection="1">
      <alignment vertical="center"/>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269" fillId="6" borderId="0" xfId="10" applyFont="1" applyFill="1" applyBorder="1" applyAlignment="1" applyProtection="1">
      <alignment vertical="center"/>
      <protection locked="0"/>
    </xf>
    <xf numFmtId="181" fontId="269" fillId="6" borderId="0" xfId="10" applyNumberFormat="1" applyFont="1" applyFill="1" applyBorder="1" applyAlignment="1" applyProtection="1">
      <alignment vertical="center"/>
      <protection locked="0"/>
    </xf>
    <xf numFmtId="0" fontId="269" fillId="6" borderId="0" xfId="10" applyFont="1" applyFill="1" applyBorder="1" applyAlignment="1" applyProtection="1">
      <alignment horizontal="center" vertical="center"/>
      <protection locked="0"/>
    </xf>
    <xf numFmtId="0" fontId="270"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21"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270" fillId="6" borderId="0" xfId="10" applyFont="1" applyFill="1" applyAlignment="1" applyProtection="1">
      <alignment horizontal="center" vertical="center"/>
      <protection locked="0"/>
    </xf>
    <xf numFmtId="0" fontId="30" fillId="6" borderId="0" xfId="10" applyFont="1" applyFill="1" applyBorder="1" applyAlignment="1" applyProtection="1">
      <alignment vertical="center"/>
      <protection locked="0"/>
    </xf>
    <xf numFmtId="189" fontId="269" fillId="6" borderId="0" xfId="10" applyNumberFormat="1" applyFont="1" applyFill="1" applyBorder="1" applyAlignment="1" applyProtection="1">
      <alignment horizontal="center" vertical="center"/>
      <protection locked="0"/>
    </xf>
    <xf numFmtId="0" fontId="258" fillId="6" borderId="16" xfId="10" applyFont="1" applyFill="1" applyBorder="1" applyAlignment="1" applyProtection="1">
      <alignment vertical="center" wrapText="1"/>
    </xf>
    <xf numFmtId="0" fontId="258" fillId="6" borderId="19" xfId="10" applyFont="1" applyFill="1" applyBorder="1" applyAlignment="1" applyProtection="1">
      <alignment vertical="center" wrapText="1"/>
    </xf>
    <xf numFmtId="189"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vertical="center" wrapText="1"/>
      <protection locked="0"/>
    </xf>
    <xf numFmtId="0" fontId="260" fillId="6" borderId="0" xfId="10" applyFont="1" applyFill="1" applyBorder="1" applyAlignment="1" applyProtection="1">
      <alignment horizontal="center" vertical="center"/>
      <protection locked="0"/>
    </xf>
    <xf numFmtId="0" fontId="260" fillId="6" borderId="15" xfId="10" applyFont="1" applyFill="1" applyBorder="1" applyAlignment="1" applyProtection="1">
      <alignment horizontal="center" vertical="center"/>
    </xf>
    <xf numFmtId="0" fontId="260" fillId="0" borderId="0" xfId="10" applyFont="1" applyFill="1" applyAlignment="1" applyProtection="1">
      <alignment horizontal="center" vertical="center"/>
      <protection locked="0"/>
    </xf>
    <xf numFmtId="0" fontId="258" fillId="6" borderId="18" xfId="10" applyFont="1" applyFill="1" applyBorder="1" applyAlignment="1" applyProtection="1">
      <alignment vertical="center" wrapText="1"/>
    </xf>
    <xf numFmtId="0" fontId="258" fillId="6" borderId="0" xfId="10" applyFont="1" applyFill="1" applyBorder="1" applyAlignment="1" applyProtection="1">
      <alignment vertical="center" wrapText="1"/>
    </xf>
    <xf numFmtId="0" fontId="258" fillId="6" borderId="42" xfId="10" applyFont="1" applyFill="1" applyBorder="1" applyAlignment="1" applyProtection="1">
      <alignment vertical="center" wrapText="1"/>
    </xf>
    <xf numFmtId="0" fontId="258" fillId="6" borderId="47" xfId="10" applyFont="1" applyFill="1" applyBorder="1" applyAlignment="1" applyProtection="1">
      <alignment vertical="center" wrapText="1"/>
    </xf>
    <xf numFmtId="0" fontId="271" fillId="6" borderId="63" xfId="10" applyFont="1" applyFill="1" applyBorder="1" applyAlignment="1" applyProtection="1">
      <alignment vertical="center" wrapText="1"/>
    </xf>
    <xf numFmtId="0" fontId="271"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4" fontId="22"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horizontal="center" vertical="center" wrapText="1"/>
      <protection locked="0"/>
    </xf>
    <xf numFmtId="0" fontId="22" fillId="6" borderId="0" xfId="10" applyFont="1" applyFill="1" applyBorder="1" applyAlignment="1" applyProtection="1">
      <alignment horizontal="center" vertical="center"/>
      <protection locked="0"/>
    </xf>
    <xf numFmtId="188" fontId="22" fillId="6" borderId="5" xfId="10" applyNumberFormat="1" applyFont="1" applyFill="1" applyBorder="1" applyAlignment="1" applyProtection="1">
      <alignment horizontal="center" vertical="center"/>
    </xf>
    <xf numFmtId="49" fontId="22" fillId="6" borderId="3" xfId="10" applyNumberFormat="1" applyFont="1" applyFill="1" applyBorder="1" applyAlignment="1" applyProtection="1">
      <alignment horizontal="center" vertical="center"/>
    </xf>
    <xf numFmtId="0" fontId="22" fillId="6" borderId="15" xfId="10" applyFont="1" applyFill="1" applyBorder="1" applyAlignment="1" applyProtection="1">
      <alignment horizontal="center" vertical="center"/>
    </xf>
    <xf numFmtId="0" fontId="22" fillId="6" borderId="1" xfId="10" applyNumberFormat="1" applyFont="1" applyFill="1" applyBorder="1" applyAlignment="1" applyProtection="1">
      <alignment horizontal="center" vertical="center"/>
    </xf>
    <xf numFmtId="0" fontId="22" fillId="0" borderId="0" xfId="10" applyFont="1" applyFill="1" applyAlignment="1" applyProtection="1">
      <alignment horizontal="center" vertical="center"/>
      <protection locked="0"/>
    </xf>
    <xf numFmtId="49" fontId="22" fillId="2" borderId="26" xfId="10" applyNumberFormat="1" applyFont="1" applyFill="1" applyBorder="1" applyAlignment="1" applyProtection="1">
      <alignment horizontal="center" vertical="center" wrapText="1"/>
      <protection locked="0"/>
    </xf>
    <xf numFmtId="0" fontId="271" fillId="6" borderId="40" xfId="10" applyFont="1" applyFill="1" applyBorder="1" applyAlignment="1" applyProtection="1">
      <alignment vertical="center" wrapText="1"/>
    </xf>
    <xf numFmtId="0" fontId="22" fillId="6" borderId="28" xfId="10" applyFont="1" applyFill="1" applyBorder="1" applyAlignment="1" applyProtection="1">
      <alignment horizontal="center" vertical="center" wrapText="1"/>
    </xf>
    <xf numFmtId="0" fontId="22"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22" fillId="2" borderId="30" xfId="10" applyNumberFormat="1"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xf>
    <xf numFmtId="0" fontId="272" fillId="6" borderId="14" xfId="10" applyFont="1" applyFill="1" applyBorder="1" applyAlignment="1" applyProtection="1">
      <alignment vertical="center" wrapText="1"/>
    </xf>
    <xf numFmtId="0" fontId="22" fillId="6" borderId="5" xfId="10" applyFont="1" applyFill="1" applyBorder="1" applyAlignment="1" applyProtection="1">
      <alignment horizontal="center" vertical="center" wrapText="1"/>
    </xf>
    <xf numFmtId="49" fontId="22"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22"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273" fillId="6" borderId="0" xfId="10" applyNumberFormat="1" applyFont="1" applyFill="1" applyBorder="1" applyAlignment="1" applyProtection="1">
      <alignment horizontal="center" vertical="center" wrapText="1"/>
      <protection locked="0"/>
    </xf>
    <xf numFmtId="0" fontId="273" fillId="6" borderId="0" xfId="10" applyFont="1" applyFill="1" applyBorder="1" applyAlignment="1" applyProtection="1">
      <alignment horizontal="center" vertical="center"/>
      <protection locked="0"/>
    </xf>
    <xf numFmtId="0" fontId="273"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274" fillId="6" borderId="0"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wrapText="1"/>
    </xf>
    <xf numFmtId="0" fontId="22" fillId="0" borderId="46" xfId="10" applyFont="1" applyFill="1" applyBorder="1" applyAlignment="1" applyProtection="1">
      <alignment horizontal="center" vertical="center" wrapText="1"/>
      <protection locked="0"/>
    </xf>
    <xf numFmtId="0" fontId="22"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260" fillId="0" borderId="37" xfId="10" applyNumberFormat="1" applyFont="1" applyFill="1" applyBorder="1" applyAlignment="1" applyProtection="1">
      <alignment horizontal="center" vertical="center" wrapText="1"/>
      <protection locked="0"/>
    </xf>
    <xf numFmtId="0" fontId="275"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276" fillId="6" borderId="0"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wrapText="1"/>
    </xf>
    <xf numFmtId="0" fontId="22" fillId="0" borderId="33" xfId="10" applyFont="1" applyFill="1" applyBorder="1" applyAlignment="1" applyProtection="1">
      <alignment horizontal="center" vertical="center" wrapText="1"/>
      <protection locked="0"/>
    </xf>
    <xf numFmtId="0" fontId="260"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58" fillId="6" borderId="40" xfId="10" applyFont="1" applyFill="1" applyBorder="1" applyAlignment="1" applyProtection="1">
      <alignment vertical="center" wrapText="1"/>
    </xf>
    <xf numFmtId="0" fontId="54" fillId="6" borderId="62" xfId="10" applyNumberFormat="1" applyFont="1" applyFill="1" applyBorder="1" applyAlignment="1" applyProtection="1">
      <alignment horizontal="center" vertical="center" wrapText="1"/>
    </xf>
    <xf numFmtId="49" fontId="260" fillId="0" borderId="39" xfId="10" applyNumberFormat="1" applyFont="1" applyFill="1" applyBorder="1" applyAlignment="1" applyProtection="1">
      <alignment horizontal="center" vertical="center" wrapText="1"/>
      <protection locked="0"/>
    </xf>
    <xf numFmtId="49" fontId="260"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260" fillId="6" borderId="1" xfId="10" applyFont="1" applyFill="1" applyBorder="1" applyAlignment="1" applyProtection="1">
      <alignment horizontal="center" vertical="center" wrapText="1"/>
    </xf>
    <xf numFmtId="188" fontId="260" fillId="6" borderId="5" xfId="10" applyNumberFormat="1" applyFont="1" applyFill="1" applyBorder="1" applyAlignment="1" applyProtection="1">
      <alignment horizontal="center" vertical="center"/>
    </xf>
    <xf numFmtId="49" fontId="260" fillId="6" borderId="3" xfId="10" applyNumberFormat="1"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 xfId="10" applyNumberFormat="1" applyFont="1" applyFill="1" applyBorder="1" applyAlignment="1" applyProtection="1">
      <alignment horizontal="center" vertical="center"/>
    </xf>
    <xf numFmtId="0" fontId="260" fillId="6" borderId="0" xfId="10" applyFont="1" applyFill="1" applyBorder="1" applyAlignment="1" applyProtection="1">
      <alignment horizontal="center" vertical="center"/>
    </xf>
    <xf numFmtId="0" fontId="260"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275" fillId="6" borderId="41" xfId="10" applyNumberFormat="1" applyFont="1" applyFill="1" applyBorder="1" applyAlignment="1" applyProtection="1">
      <alignment horizontal="center" vertical="center" wrapText="1"/>
    </xf>
    <xf numFmtId="49" fontId="260" fillId="0" borderId="35" xfId="10" applyNumberFormat="1" applyFont="1" applyFill="1" applyBorder="1" applyAlignment="1" applyProtection="1">
      <alignment horizontal="center" vertical="center" wrapText="1"/>
      <protection locked="0"/>
    </xf>
    <xf numFmtId="49" fontId="260"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60" fillId="2" borderId="35" xfId="10" applyNumberFormat="1" applyFont="1" applyFill="1" applyBorder="1" applyAlignment="1" applyProtection="1">
      <alignment horizontal="center" vertical="center" wrapText="1"/>
      <protection locked="0"/>
    </xf>
    <xf numFmtId="49" fontId="260" fillId="2" borderId="14" xfId="10" applyNumberFormat="1" applyFont="1" applyFill="1" applyBorder="1" applyAlignment="1" applyProtection="1">
      <alignment horizontal="center" vertical="center" wrapText="1"/>
      <protection locked="0"/>
    </xf>
    <xf numFmtId="49" fontId="260" fillId="0" borderId="22" xfId="10" applyNumberFormat="1" applyFont="1" applyFill="1" applyBorder="1" applyAlignment="1" applyProtection="1">
      <alignment horizontal="center" vertical="center" wrapText="1"/>
      <protection locked="0"/>
    </xf>
    <xf numFmtId="49" fontId="260" fillId="0" borderId="11" xfId="10" applyNumberFormat="1" applyFont="1" applyFill="1" applyBorder="1" applyAlignment="1" applyProtection="1">
      <alignment horizontal="center" vertical="center" wrapText="1"/>
      <protection locked="0"/>
    </xf>
    <xf numFmtId="49" fontId="260" fillId="2" borderId="7" xfId="10" applyNumberFormat="1" applyFont="1" applyFill="1" applyBorder="1" applyAlignment="1" applyProtection="1">
      <alignment horizontal="center" vertical="center" wrapText="1"/>
      <protection locked="0"/>
    </xf>
    <xf numFmtId="49" fontId="260" fillId="2" borderId="41" xfId="10" applyNumberFormat="1" applyFont="1" applyFill="1" applyBorder="1" applyAlignment="1" applyProtection="1">
      <alignment horizontal="center" vertical="center" wrapText="1"/>
      <protection locked="0"/>
    </xf>
    <xf numFmtId="0" fontId="275" fillId="6" borderId="14" xfId="10" applyNumberFormat="1" applyFont="1" applyFill="1" applyBorder="1" applyAlignment="1" applyProtection="1">
      <alignment horizontal="center" vertical="center" wrapText="1"/>
    </xf>
    <xf numFmtId="0" fontId="260"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protection locked="0"/>
    </xf>
    <xf numFmtId="0" fontId="22"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54" fillId="6" borderId="10" xfId="10" applyNumberFormat="1" applyFont="1" applyFill="1" applyBorder="1" applyAlignment="1" applyProtection="1">
      <alignment horizontal="center" vertical="center" wrapText="1"/>
    </xf>
    <xf numFmtId="0" fontId="277"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274" fillId="6" borderId="0" xfId="10" applyFont="1" applyFill="1" applyBorder="1" applyAlignment="1" applyProtection="1">
      <alignment horizontal="center" vertical="center"/>
      <protection locked="0"/>
    </xf>
    <xf numFmtId="0" fontId="274" fillId="6" borderId="1" xfId="10" applyFont="1" applyFill="1" applyBorder="1" applyAlignment="1" applyProtection="1">
      <alignment horizontal="center" vertical="center" wrapText="1"/>
    </xf>
    <xf numFmtId="188" fontId="274" fillId="6" borderId="5" xfId="10" applyNumberFormat="1" applyFont="1" applyFill="1" applyBorder="1" applyAlignment="1" applyProtection="1">
      <alignment horizontal="center" vertical="center"/>
    </xf>
    <xf numFmtId="49" fontId="274" fillId="6" borderId="3" xfId="10" applyNumberFormat="1" applyFont="1" applyFill="1" applyBorder="1" applyAlignment="1" applyProtection="1">
      <alignment horizontal="center" vertical="center"/>
    </xf>
    <xf numFmtId="0" fontId="274" fillId="6" borderId="15" xfId="10" applyFont="1" applyFill="1" applyBorder="1" applyAlignment="1" applyProtection="1">
      <alignment horizontal="center" vertical="center"/>
    </xf>
    <xf numFmtId="0" fontId="274" fillId="6" borderId="1" xfId="10" applyFont="1" applyFill="1" applyBorder="1" applyAlignment="1" applyProtection="1">
      <alignment horizontal="center" vertical="center"/>
    </xf>
    <xf numFmtId="0" fontId="274"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textRotation="255" wrapText="1"/>
    </xf>
    <xf numFmtId="49" fontId="260"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0" fontId="22" fillId="0" borderId="37"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textRotation="255" wrapText="1"/>
    </xf>
    <xf numFmtId="49" fontId="258" fillId="6" borderId="51" xfId="10" applyNumberFormat="1" applyFont="1" applyFill="1" applyBorder="1" applyAlignment="1" applyProtection="1">
      <alignment vertical="center"/>
    </xf>
    <xf numFmtId="49" fontId="258"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xf>
    <xf numFmtId="181" fontId="260" fillId="6" borderId="0" xfId="10" applyNumberFormat="1" applyFont="1" applyFill="1" applyBorder="1" applyAlignment="1" applyProtection="1">
      <alignment vertical="center" wrapText="1"/>
      <protection locked="0"/>
    </xf>
    <xf numFmtId="0" fontId="260" fillId="6" borderId="0" xfId="10" applyFont="1" applyFill="1" applyAlignment="1" applyProtection="1">
      <alignment horizontal="center" vertical="center"/>
      <protection locked="0"/>
    </xf>
    <xf numFmtId="0" fontId="260" fillId="6" borderId="0" xfId="10" applyFont="1" applyFill="1" applyAlignment="1" applyProtection="1">
      <alignment horizontal="center" vertical="center"/>
    </xf>
    <xf numFmtId="0" fontId="260" fillId="6" borderId="2" xfId="10" applyFont="1" applyFill="1" applyBorder="1" applyAlignment="1" applyProtection="1">
      <alignment vertical="center" textRotation="255" wrapText="1"/>
    </xf>
    <xf numFmtId="49" fontId="258" fillId="6" borderId="38" xfId="10" applyNumberFormat="1" applyFont="1" applyFill="1" applyBorder="1" applyAlignment="1" applyProtection="1">
      <alignment vertical="center"/>
    </xf>
    <xf numFmtId="49" fontId="258"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wrapText="1"/>
    </xf>
    <xf numFmtId="49" fontId="258" fillId="0" borderId="42" xfId="10" applyNumberFormat="1" applyFont="1" applyFill="1" applyBorder="1" applyAlignment="1" applyProtection="1">
      <alignment vertical="center"/>
      <protection locked="0"/>
    </xf>
    <xf numFmtId="49" fontId="258"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260" fillId="6" borderId="1" xfId="10" applyNumberFormat="1" applyFont="1" applyFill="1" applyBorder="1" applyAlignment="1" applyProtection="1">
      <alignment horizontal="center" vertical="center" wrapText="1"/>
    </xf>
    <xf numFmtId="9" fontId="260" fillId="6" borderId="0" xfId="10" applyNumberFormat="1" applyFont="1" applyFill="1" applyAlignment="1" applyProtection="1">
      <alignment horizontal="center" vertical="center"/>
      <protection locked="0"/>
    </xf>
    <xf numFmtId="189" fontId="260" fillId="6" borderId="0" xfId="10" applyNumberFormat="1" applyFont="1" applyFill="1" applyAlignment="1" applyProtection="1">
      <alignment horizontal="center" vertical="center"/>
      <protection locked="0"/>
    </xf>
    <xf numFmtId="181" fontId="260"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276" fillId="6" borderId="0" xfId="10" applyFont="1" applyFill="1" applyAlignment="1" applyProtection="1">
      <alignment horizontal="center" vertical="center"/>
      <protection locked="0"/>
    </xf>
    <xf numFmtId="189" fontId="276" fillId="6" borderId="0" xfId="10" applyNumberFormat="1" applyFont="1" applyFill="1" applyAlignment="1" applyProtection="1">
      <alignment horizontal="center" vertical="center"/>
      <protection locked="0"/>
    </xf>
    <xf numFmtId="181" fontId="276" fillId="6" borderId="0" xfId="10" applyNumberFormat="1" applyFont="1" applyFill="1" applyAlignment="1" applyProtection="1">
      <alignment horizontal="center" vertical="center"/>
      <protection locked="0"/>
    </xf>
    <xf numFmtId="0" fontId="276" fillId="0" borderId="0" xfId="10" applyFont="1" applyFill="1" applyAlignment="1" applyProtection="1">
      <alignment horizontal="center" vertical="center"/>
      <protection locked="0"/>
    </xf>
    <xf numFmtId="14" fontId="260" fillId="6" borderId="0" xfId="10" applyNumberFormat="1" applyFont="1" applyFill="1" applyAlignment="1" applyProtection="1">
      <alignment horizontal="center" vertical="center"/>
      <protection locked="0"/>
    </xf>
    <xf numFmtId="176" fontId="260" fillId="6" borderId="0" xfId="10" applyNumberFormat="1" applyFont="1" applyFill="1" applyAlignment="1" applyProtection="1">
      <alignment horizontal="center" vertical="center"/>
      <protection locked="0"/>
    </xf>
    <xf numFmtId="0" fontId="278" fillId="6" borderId="0" xfId="10" applyFont="1" applyFill="1" applyBorder="1" applyAlignment="1" applyProtection="1"/>
    <xf numFmtId="0" fontId="260" fillId="6" borderId="0" xfId="10" applyFont="1" applyFill="1" applyBorder="1" applyAlignment="1" applyProtection="1"/>
    <xf numFmtId="0" fontId="260" fillId="6" borderId="0" xfId="10" applyFont="1" applyFill="1" applyBorder="1" applyAlignment="1" applyProtection="1">
      <alignment horizontal="center"/>
    </xf>
    <xf numFmtId="189" fontId="260" fillId="6" borderId="0" xfId="10" applyNumberFormat="1" applyFont="1" applyFill="1" applyBorder="1" applyAlignment="1" applyProtection="1">
      <alignment horizontal="center"/>
    </xf>
    <xf numFmtId="181" fontId="260" fillId="6" borderId="0" xfId="10" applyNumberFormat="1" applyFont="1" applyFill="1" applyBorder="1" applyAlignment="1" applyProtection="1">
      <protection locked="0"/>
    </xf>
    <xf numFmtId="0" fontId="260" fillId="6" borderId="0" xfId="10" applyFont="1" applyFill="1" applyBorder="1" applyAlignment="1" applyProtection="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0" xfId="10" applyNumberFormat="1" applyFont="1" applyFill="1" applyAlignment="1" applyProtection="1">
      <alignment horizontal="center" vertical="center"/>
      <protection locked="0"/>
    </xf>
    <xf numFmtId="0" fontId="271" fillId="6" borderId="18" xfId="10" applyNumberFormat="1" applyFont="1" applyFill="1" applyBorder="1" applyAlignment="1" applyProtection="1">
      <alignment vertical="center" wrapText="1"/>
    </xf>
    <xf numFmtId="0" fontId="271"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0" fontId="271" fillId="6" borderId="42" xfId="10" applyNumberFormat="1" applyFont="1" applyFill="1" applyBorder="1" applyAlignment="1" applyProtection="1">
      <alignment vertical="center"/>
    </xf>
    <xf numFmtId="0" fontId="271"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22" fillId="0" borderId="0" xfId="10" applyNumberFormat="1" applyFont="1" applyFill="1" applyBorder="1" applyAlignment="1" applyProtection="1">
      <alignment horizontal="center" vertical="center" wrapText="1"/>
      <protection locked="0"/>
    </xf>
    <xf numFmtId="0" fontId="271" fillId="6" borderId="58" xfId="10" applyNumberFormat="1" applyFont="1" applyFill="1" applyBorder="1" applyAlignment="1" applyProtection="1">
      <alignment vertical="center" wrapText="1"/>
    </xf>
    <xf numFmtId="0" fontId="22" fillId="6" borderId="7" xfId="10" applyNumberFormat="1" applyFont="1" applyFill="1" applyBorder="1" applyAlignment="1" applyProtection="1">
      <alignment horizontal="center" vertical="center" wrapText="1"/>
    </xf>
    <xf numFmtId="0" fontId="22" fillId="0" borderId="2" xfId="10" applyNumberFormat="1" applyFont="1" applyFill="1" applyBorder="1" applyAlignment="1" applyProtection="1">
      <alignment horizontal="center" vertical="center" wrapText="1"/>
      <protection locked="0"/>
    </xf>
    <xf numFmtId="0" fontId="22" fillId="0" borderId="2" xfId="10" applyNumberFormat="1" applyFont="1" applyFill="1" applyBorder="1" applyAlignment="1" applyProtection="1">
      <alignment horizontal="left" vertical="center" wrapText="1"/>
      <protection locked="0"/>
    </xf>
    <xf numFmtId="0" fontId="22" fillId="0" borderId="8" xfId="10" applyNumberFormat="1" applyFont="1" applyFill="1" applyBorder="1" applyAlignment="1" applyProtection="1">
      <alignment horizontal="center" vertical="center" wrapText="1"/>
      <protection locked="0"/>
    </xf>
    <xf numFmtId="0" fontId="22" fillId="6" borderId="0"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258" fillId="6" borderId="40" xfId="10" applyNumberFormat="1" applyFont="1" applyFill="1" applyBorder="1" applyAlignment="1" applyProtection="1">
      <alignment vertical="center" wrapText="1"/>
    </xf>
    <xf numFmtId="0" fontId="22" fillId="6" borderId="17" xfId="10" applyNumberFormat="1" applyFont="1" applyFill="1" applyBorder="1" applyAlignment="1" applyProtection="1">
      <alignment horizontal="center" vertical="center" wrapText="1"/>
    </xf>
    <xf numFmtId="0" fontId="260" fillId="6" borderId="9" xfId="10" applyNumberFormat="1" applyFont="1" applyFill="1" applyBorder="1" applyAlignment="1" applyProtection="1">
      <alignment horizontal="center" vertical="center" wrapText="1"/>
    </xf>
    <xf numFmtId="0" fontId="260"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left" vertical="center" wrapText="1"/>
      <protection locked="0"/>
    </xf>
    <xf numFmtId="0" fontId="276" fillId="0" borderId="10" xfId="10" applyNumberFormat="1" applyFont="1" applyFill="1" applyBorder="1" applyAlignment="1" applyProtection="1">
      <alignment horizontal="center" vertical="center" wrapText="1"/>
      <protection locked="0"/>
    </xf>
    <xf numFmtId="0" fontId="276" fillId="6" borderId="0"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wrapText="1"/>
    </xf>
    <xf numFmtId="0" fontId="274"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260" fillId="6" borderId="0" xfId="10" applyNumberFormat="1" applyFont="1" applyFill="1" applyBorder="1" applyAlignment="1" applyProtection="1">
      <alignment horizontal="center" vertical="center" wrapText="1"/>
      <protection locked="0"/>
    </xf>
    <xf numFmtId="0" fontId="22"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22"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27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277"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left" vertical="center" wrapText="1"/>
      <protection locked="0"/>
    </xf>
    <xf numFmtId="0" fontId="274" fillId="0" borderId="45" xfId="10" applyNumberFormat="1" applyFont="1" applyFill="1" applyBorder="1" applyAlignment="1" applyProtection="1">
      <alignment horizontal="center" vertical="center" wrapText="1"/>
      <protection locked="0"/>
    </xf>
    <xf numFmtId="0" fontId="274" fillId="6" borderId="0"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left" vertical="center" wrapText="1"/>
      <protection locked="0"/>
    </xf>
    <xf numFmtId="0" fontId="274" fillId="0" borderId="8" xfId="10" applyNumberFormat="1" applyFont="1" applyFill="1" applyBorder="1" applyAlignment="1" applyProtection="1">
      <alignment horizontal="center" vertical="center" wrapText="1"/>
      <protection locked="0"/>
    </xf>
    <xf numFmtId="0" fontId="277" fillId="6" borderId="12" xfId="10" applyNumberFormat="1" applyFont="1" applyFill="1" applyBorder="1" applyAlignment="1" applyProtection="1">
      <alignment vertical="center" wrapText="1"/>
    </xf>
    <xf numFmtId="0" fontId="22"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271"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left" vertical="center" wrapText="1"/>
      <protection locked="0"/>
    </xf>
    <xf numFmtId="0" fontId="22"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260"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left" vertical="center" wrapText="1"/>
      <protection locked="0"/>
    </xf>
    <xf numFmtId="0" fontId="276" fillId="0" borderId="45" xfId="10" applyNumberFormat="1" applyFont="1" applyFill="1" applyBorder="1" applyAlignment="1" applyProtection="1">
      <alignment horizontal="center" vertical="center" wrapText="1"/>
      <protection locked="0"/>
    </xf>
    <xf numFmtId="0" fontId="260"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left" vertical="center" wrapText="1"/>
      <protection locked="0"/>
    </xf>
    <xf numFmtId="0" fontId="276" fillId="0" borderId="8" xfId="10" applyNumberFormat="1" applyFont="1" applyFill="1" applyBorder="1" applyAlignment="1" applyProtection="1">
      <alignment horizontal="center" vertical="center" wrapText="1"/>
      <protection locked="0"/>
    </xf>
    <xf numFmtId="0" fontId="258"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277" fillId="6" borderId="14" xfId="10" applyNumberFormat="1" applyFont="1" applyFill="1" applyBorder="1" applyAlignment="1" applyProtection="1">
      <alignment vertical="center" textRotation="255" wrapText="1"/>
    </xf>
    <xf numFmtId="0" fontId="22"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textRotation="255" wrapText="1"/>
    </xf>
    <xf numFmtId="0" fontId="260"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left" vertical="center" wrapText="1"/>
      <protection locked="0"/>
    </xf>
    <xf numFmtId="0" fontId="276" fillId="0" borderId="53"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189" fontId="260" fillId="0" borderId="0" xfId="10" applyNumberFormat="1" applyFont="1" applyFill="1" applyAlignment="1" applyProtection="1">
      <alignment horizontal="center" vertical="center"/>
      <protection locked="0"/>
    </xf>
    <xf numFmtId="181" fontId="260" fillId="0" borderId="0" xfId="1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260" fillId="0" borderId="58" xfId="10" applyFont="1" applyFill="1" applyBorder="1" applyAlignment="1" applyProtection="1">
      <alignment horizontal="center" vertical="center"/>
      <protection locked="0"/>
    </xf>
    <xf numFmtId="0" fontId="22" fillId="0" borderId="58" xfId="10" applyFont="1" applyFill="1" applyBorder="1" applyAlignment="1" applyProtection="1">
      <alignment horizontal="center" vertical="center" wrapText="1"/>
      <protection locked="0"/>
    </xf>
    <xf numFmtId="0" fontId="274" fillId="0" borderId="58" xfId="10"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9" fontId="260" fillId="0" borderId="0" xfId="10" applyNumberFormat="1" applyFont="1" applyFill="1" applyBorder="1" applyAlignment="1" applyProtection="1">
      <alignment horizontal="center" vertical="center" wrapText="1"/>
      <protection locked="0"/>
    </xf>
    <xf numFmtId="0" fontId="260" fillId="0" borderId="58" xfId="10" applyFont="1" applyFill="1" applyBorder="1" applyAlignment="1" applyProtection="1">
      <alignment horizontal="center" vertical="center" wrapText="1"/>
      <protection locked="0"/>
    </xf>
    <xf numFmtId="0" fontId="260" fillId="0" borderId="45"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left" vertical="center" wrapText="1"/>
      <protection locked="0"/>
    </xf>
    <xf numFmtId="0" fontId="260" fillId="6" borderId="57" xfId="10" applyNumberFormat="1" applyFont="1" applyFill="1" applyBorder="1" applyAlignment="1" applyProtection="1">
      <alignment horizontal="center" vertical="center" wrapText="1"/>
    </xf>
    <xf numFmtId="0" fontId="22" fillId="0" borderId="58" xfId="10" applyFont="1" applyFill="1" applyBorder="1" applyAlignment="1" applyProtection="1">
      <alignment vertical="center" wrapText="1"/>
      <protection locked="0"/>
    </xf>
    <xf numFmtId="0" fontId="274" fillId="0" borderId="58" xfId="10" applyFont="1" applyFill="1" applyBorder="1" applyAlignment="1" applyProtection="1">
      <alignment vertical="center" wrapText="1"/>
      <protection locked="0"/>
    </xf>
    <xf numFmtId="0" fontId="274" fillId="0" borderId="58" xfId="10" applyFont="1" applyFill="1" applyBorder="1" applyAlignment="1" applyProtection="1">
      <alignment horizontal="center" vertical="center"/>
      <protection locked="0"/>
    </xf>
    <xf numFmtId="9" fontId="22" fillId="0" borderId="58" xfId="10" applyNumberFormat="1" applyFont="1" applyFill="1" applyBorder="1" applyAlignment="1" applyProtection="1">
      <alignment horizontal="center" vertical="center" wrapText="1"/>
      <protection locked="0"/>
    </xf>
    <xf numFmtId="0" fontId="102" fillId="0" borderId="58" xfId="10" applyFont="1" applyFill="1" applyBorder="1" applyAlignment="1" applyProtection="1">
      <alignment vertical="center"/>
      <protection locked="0"/>
    </xf>
    <xf numFmtId="49" fontId="47" fillId="0" borderId="58" xfId="10" applyNumberFormat="1" applyFont="1" applyFill="1" applyBorder="1" applyAlignment="1" applyProtection="1">
      <alignment horizontal="center" vertical="center"/>
      <protection locked="0"/>
    </xf>
    <xf numFmtId="0" fontId="260" fillId="0" borderId="58" xfId="10" applyFont="1" applyBorder="1" applyAlignment="1" applyProtection="1">
      <protection locked="0"/>
    </xf>
    <xf numFmtId="0" fontId="276" fillId="0" borderId="58" xfId="10" applyFont="1" applyFill="1" applyBorder="1" applyAlignment="1" applyProtection="1">
      <alignment horizontal="center" vertical="center"/>
      <protection locked="0"/>
    </xf>
    <xf numFmtId="0" fontId="260" fillId="6" borderId="43" xfId="10" applyFont="1" applyFill="1" applyBorder="1" applyAlignment="1" applyProtection="1">
      <alignment horizontal="center" vertical="center"/>
    </xf>
    <xf numFmtId="0" fontId="260" fillId="6" borderId="47" xfId="10" applyFont="1" applyFill="1" applyBorder="1" applyAlignment="1" applyProtection="1">
      <alignment horizontal="center" vertical="center"/>
    </xf>
    <xf numFmtId="186" fontId="53" fillId="6" borderId="47" xfId="10" applyNumberFormat="1" applyFont="1" applyFill="1" applyBorder="1" applyAlignment="1" applyProtection="1">
      <alignment vertical="center" wrapText="1"/>
    </xf>
    <xf numFmtId="0" fontId="260" fillId="6" borderId="56" xfId="10" applyFont="1" applyFill="1" applyBorder="1" applyAlignment="1" applyProtection="1">
      <alignment horizontal="center" vertical="center"/>
    </xf>
    <xf numFmtId="0" fontId="53" fillId="6" borderId="68" xfId="10" applyFont="1" applyFill="1" applyBorder="1" applyAlignment="1" applyProtection="1">
      <alignment vertical="center" wrapText="1"/>
    </xf>
    <xf numFmtId="0" fontId="73" fillId="6" borderId="21" xfId="10" applyFont="1" applyFill="1" applyBorder="1" applyAlignment="1" applyProtection="1">
      <alignment vertical="center" wrapText="1"/>
    </xf>
    <xf numFmtId="0" fontId="260" fillId="6" borderId="24" xfId="10" applyNumberFormat="1" applyFont="1" applyFill="1" applyBorder="1" applyAlignment="1" applyProtection="1">
      <alignment horizontal="center" vertical="center"/>
    </xf>
    <xf numFmtId="0" fontId="22" fillId="6" borderId="24" xfId="10" applyNumberFormat="1" applyFont="1" applyFill="1" applyBorder="1" applyAlignment="1" applyProtection="1">
      <alignment horizontal="center" vertical="center"/>
    </xf>
    <xf numFmtId="0" fontId="260" fillId="2"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260" fillId="2" borderId="6" xfId="10" applyNumberFormat="1" applyFont="1" applyFill="1" applyBorder="1" applyAlignment="1" applyProtection="1">
      <alignment horizontal="center" vertical="center" wrapText="1"/>
      <protection locked="0"/>
    </xf>
    <xf numFmtId="0" fontId="22" fillId="0" borderId="7" xfId="10" applyNumberFormat="1" applyFont="1" applyFill="1" applyBorder="1" applyAlignment="1" applyProtection="1">
      <alignment horizontal="center" vertical="center" wrapText="1"/>
      <protection locked="0"/>
    </xf>
    <xf numFmtId="0" fontId="22" fillId="0" borderId="12" xfId="10" applyNumberFormat="1" applyFont="1" applyFill="1" applyBorder="1" applyAlignment="1" applyProtection="1">
      <alignment horizontal="center" vertical="center" wrapText="1"/>
      <protection locked="0"/>
    </xf>
    <xf numFmtId="0" fontId="260" fillId="0" borderId="52" xfId="10" applyNumberFormat="1" applyFont="1" applyFill="1" applyBorder="1" applyAlignment="1" applyProtection="1">
      <alignment horizontal="center" vertical="center" wrapText="1"/>
      <protection locked="0"/>
    </xf>
    <xf numFmtId="0" fontId="22" fillId="0" borderId="49" xfId="10" applyFont="1" applyFill="1" applyBorder="1" applyAlignment="1" applyProtection="1">
      <alignment horizontal="center" vertical="center" wrapText="1"/>
      <protection locked="0"/>
    </xf>
    <xf numFmtId="0" fontId="260" fillId="0" borderId="54" xfId="10" applyNumberFormat="1" applyFont="1" applyFill="1" applyBorder="1" applyAlignment="1" applyProtection="1">
      <alignment horizontal="center" vertical="center" wrapText="1"/>
      <protection locked="0"/>
    </xf>
    <xf numFmtId="0" fontId="22" fillId="0" borderId="24"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center" vertical="center" wrapText="1"/>
      <protection locked="0"/>
    </xf>
    <xf numFmtId="0" fontId="22" fillId="6" borderId="61" xfId="10" applyFont="1" applyFill="1" applyBorder="1" applyAlignment="1" applyProtection="1">
      <alignment horizontal="center" vertical="center" wrapText="1"/>
    </xf>
    <xf numFmtId="0" fontId="260" fillId="2" borderId="54" xfId="10" applyNumberFormat="1" applyFont="1" applyFill="1" applyBorder="1" applyAlignment="1" applyProtection="1">
      <alignment horizontal="center" vertical="center" wrapText="1"/>
      <protection locked="0"/>
    </xf>
    <xf numFmtId="0" fontId="22" fillId="6" borderId="8" xfId="10" applyFont="1" applyFill="1" applyBorder="1" applyAlignment="1" applyProtection="1">
      <alignment horizontal="center" vertical="center" wrapText="1"/>
    </xf>
    <xf numFmtId="0" fontId="260" fillId="2" borderId="7"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260" fillId="6" borderId="22" xfId="10" applyNumberFormat="1" applyFont="1" applyFill="1" applyBorder="1" applyAlignment="1" applyProtection="1">
      <alignment horizontal="center" vertical="center" wrapText="1"/>
    </xf>
    <xf numFmtId="0" fontId="260" fillId="2" borderId="35" xfId="10" applyNumberFormat="1" applyFont="1" applyFill="1" applyBorder="1" applyAlignment="1" applyProtection="1">
      <alignment horizontal="center" vertical="center" wrapText="1"/>
      <protection locked="0"/>
    </xf>
    <xf numFmtId="49" fontId="260" fillId="6" borderId="39" xfId="10" applyNumberFormat="1" applyFont="1" applyFill="1" applyBorder="1" applyAlignment="1" applyProtection="1">
      <alignment horizontal="center" vertical="center" wrapText="1"/>
    </xf>
    <xf numFmtId="0" fontId="22" fillId="6" borderId="62" xfId="10" applyFont="1" applyFill="1" applyBorder="1" applyAlignment="1" applyProtection="1">
      <alignment horizontal="center" vertical="center" wrapText="1"/>
    </xf>
    <xf numFmtId="49" fontId="22" fillId="2" borderId="6" xfId="10" applyNumberFormat="1" applyFont="1" applyFill="1" applyBorder="1" applyAlignment="1" applyProtection="1">
      <alignment horizontal="center" vertical="center" wrapText="1"/>
      <protection locked="0"/>
    </xf>
    <xf numFmtId="184" fontId="47" fillId="6" borderId="26" xfId="10" applyNumberFormat="1" applyFont="1" applyFill="1" applyBorder="1" applyAlignment="1" applyProtection="1">
      <alignment horizontal="center" vertical="center" wrapText="1"/>
    </xf>
    <xf numFmtId="0" fontId="260" fillId="6" borderId="17" xfId="10" applyFont="1" applyFill="1" applyBorder="1" applyAlignment="1" applyProtection="1">
      <alignment horizontal="center" vertical="center"/>
    </xf>
    <xf numFmtId="0" fontId="270" fillId="6" borderId="0" xfId="10" applyFont="1" applyFill="1" applyBorder="1" applyAlignment="1" applyProtection="1">
      <alignment horizontal="center" vertical="center"/>
    </xf>
    <xf numFmtId="0" fontId="269" fillId="6" borderId="0" xfId="10" applyFont="1" applyFill="1" applyBorder="1" applyAlignment="1" applyProtection="1">
      <alignment horizontal="center" vertical="center"/>
    </xf>
    <xf numFmtId="0" fontId="270" fillId="6" borderId="87" xfId="10" applyFont="1" applyFill="1" applyBorder="1" applyAlignment="1" applyProtection="1">
      <alignment horizontal="center" vertical="center"/>
    </xf>
    <xf numFmtId="0" fontId="269" fillId="6" borderId="87" xfId="10" applyFont="1" applyFill="1" applyBorder="1" applyAlignment="1" applyProtection="1">
      <alignment horizontal="center" vertical="center"/>
    </xf>
    <xf numFmtId="0" fontId="269" fillId="6" borderId="88" xfId="10" applyFont="1" applyFill="1" applyBorder="1" applyAlignment="1" applyProtection="1">
      <alignment horizontal="right" vertical="center"/>
    </xf>
    <xf numFmtId="49" fontId="260" fillId="6" borderId="22" xfId="10" applyNumberFormat="1"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49" fontId="80" fillId="0" borderId="1" xfId="0" applyNumberFormat="1" applyFont="1" applyBorder="1" applyAlignment="1" applyProtection="1">
      <alignment vertical="center" wrapText="1"/>
      <protection locked="0"/>
    </xf>
    <xf numFmtId="0" fontId="56" fillId="0" borderId="1" xfId="0" applyFont="1" applyFill="1" applyBorder="1" applyAlignment="1" applyProtection="1">
      <alignment vertical="center" wrapText="1"/>
      <protection locked="0"/>
    </xf>
    <xf numFmtId="0" fontId="279" fillId="0" borderId="156" xfId="0" applyFont="1" applyBorder="1" applyAlignment="1">
      <alignment horizontal="justify" vertical="center"/>
    </xf>
    <xf numFmtId="0" fontId="279" fillId="0" borderId="157" xfId="0" applyFont="1" applyBorder="1" applyAlignment="1">
      <alignment horizontal="justify" vertical="center"/>
    </xf>
    <xf numFmtId="0" fontId="280" fillId="0" borderId="157" xfId="0" applyFont="1" applyBorder="1" applyAlignment="1">
      <alignment horizontal="justify" vertical="center"/>
    </xf>
    <xf numFmtId="0" fontId="279" fillId="0" borderId="158" xfId="0" applyFont="1" applyBorder="1" applyAlignment="1">
      <alignment horizontal="justify" vertical="center"/>
    </xf>
    <xf numFmtId="0" fontId="279" fillId="0" borderId="159" xfId="0" applyFont="1" applyBorder="1" applyAlignment="1">
      <alignment horizontal="justify" vertical="center"/>
    </xf>
    <xf numFmtId="0" fontId="280" fillId="0" borderId="159" xfId="0" applyFont="1" applyBorder="1" applyAlignment="1">
      <alignment horizontal="justify"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13" fillId="0" borderId="0" xfId="10" applyFont="1" applyAlignment="1" applyProtection="1">
      <alignment horizontal="left" vertical="center"/>
    </xf>
    <xf numFmtId="49" fontId="13" fillId="6" borderId="40" xfId="10" applyNumberFormat="1" applyFont="1" applyFill="1" applyBorder="1" applyAlignment="1" applyProtection="1">
      <alignment horizontal="center" vertical="center" wrapText="1"/>
    </xf>
    <xf numFmtId="49" fontId="13" fillId="6" borderId="14"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1"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xf>
    <xf numFmtId="0" fontId="113" fillId="6" borderId="15" xfId="10" applyFont="1" applyFill="1" applyBorder="1" applyAlignment="1" applyProtection="1">
      <alignment horizontal="center" vertical="center"/>
    </xf>
    <xf numFmtId="0" fontId="113" fillId="6" borderId="2"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wrapText="1"/>
    </xf>
    <xf numFmtId="0" fontId="113" fillId="6" borderId="2" xfId="10" applyFont="1" applyFill="1" applyBorder="1" applyAlignment="1" applyProtection="1">
      <alignment horizontal="center" vertical="center" wrapText="1"/>
    </xf>
    <xf numFmtId="0" fontId="21" fillId="6" borderId="5" xfId="10" applyFont="1" applyFill="1" applyBorder="1" applyAlignment="1" applyProtection="1">
      <alignment horizontal="center" vertical="center" wrapText="1"/>
    </xf>
    <xf numFmtId="0" fontId="21" fillId="6" borderId="54" xfId="10" applyFont="1" applyFill="1" applyBorder="1" applyAlignment="1" applyProtection="1">
      <alignment horizontal="center" vertical="center" wrapText="1"/>
    </xf>
    <xf numFmtId="0" fontId="21" fillId="6" borderId="0" xfId="10" applyFont="1" applyFill="1" applyBorder="1" applyAlignment="1" applyProtection="1">
      <alignment horizontal="center" vertical="center" wrapText="1"/>
    </xf>
    <xf numFmtId="0" fontId="21" fillId="6" borderId="22" xfId="10" applyFont="1" applyFill="1" applyBorder="1" applyAlignment="1" applyProtection="1">
      <alignment horizontal="center" vertical="center" wrapText="1"/>
    </xf>
    <xf numFmtId="0" fontId="82" fillId="6" borderId="54" xfId="8" applyFont="1" applyFill="1" applyBorder="1" applyAlignment="1" applyProtection="1">
      <alignment horizontal="right" vertical="center" wrapText="1"/>
      <protection locked="0"/>
    </xf>
    <xf numFmtId="49" fontId="102" fillId="6" borderId="18" xfId="10" applyNumberFormat="1" applyFont="1" applyFill="1" applyBorder="1" applyAlignment="1" applyProtection="1">
      <alignment horizontal="center" vertical="center" wrapText="1"/>
    </xf>
    <xf numFmtId="49" fontId="102" fillId="6" borderId="12" xfId="1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60" fillId="6" borderId="23" xfId="10" applyFont="1" applyFill="1" applyBorder="1" applyAlignment="1" applyProtection="1">
      <alignment horizontal="center" vertical="center" wrapText="1"/>
    </xf>
    <xf numFmtId="0" fontId="260" fillId="6" borderId="1" xfId="10" applyFont="1" applyFill="1" applyBorder="1" applyAlignment="1" applyProtection="1">
      <alignment horizontal="center" vertical="center" wrapText="1"/>
    </xf>
    <xf numFmtId="0" fontId="260" fillId="6" borderId="1" xfId="10" applyNumberFormat="1" applyFont="1" applyFill="1" applyBorder="1" applyAlignment="1" applyProtection="1">
      <alignment horizontal="center" vertical="center"/>
    </xf>
    <xf numFmtId="0" fontId="260" fillId="6" borderId="38" xfId="10" applyFont="1" applyFill="1" applyBorder="1" applyAlignment="1" applyProtection="1">
      <alignment horizontal="center" vertical="center" wrapText="1"/>
    </xf>
    <xf numFmtId="0" fontId="260" fillId="6" borderId="66" xfId="10" applyFont="1" applyFill="1" applyBorder="1" applyAlignment="1" applyProtection="1">
      <alignment horizontal="center" vertical="center" wrapText="1"/>
    </xf>
    <xf numFmtId="0" fontId="258" fillId="6" borderId="32" xfId="10" applyNumberFormat="1" applyFont="1" applyFill="1" applyBorder="1" applyAlignment="1" applyProtection="1">
      <alignment horizontal="center" vertical="center"/>
    </xf>
    <xf numFmtId="0" fontId="260" fillId="6" borderId="11" xfId="10" applyFont="1" applyFill="1" applyBorder="1" applyAlignment="1" applyProtection="1">
      <alignment horizontal="center" vertical="center" wrapText="1"/>
    </xf>
    <xf numFmtId="0" fontId="260" fillId="6" borderId="14" xfId="10" applyFont="1" applyFill="1" applyBorder="1" applyAlignment="1" applyProtection="1">
      <alignment horizontal="center" vertical="center" wrapText="1"/>
    </xf>
    <xf numFmtId="0" fontId="260" fillId="6" borderId="13" xfId="10" applyFont="1" applyFill="1" applyBorder="1" applyAlignment="1" applyProtection="1">
      <alignment horizontal="center" vertical="center" wrapText="1"/>
    </xf>
    <xf numFmtId="0" fontId="260" fillId="6" borderId="15" xfId="10" applyFont="1" applyFill="1" applyBorder="1" applyAlignment="1" applyProtection="1">
      <alignment horizontal="center" vertical="center" wrapText="1"/>
    </xf>
    <xf numFmtId="0" fontId="260" fillId="6" borderId="11" xfId="10" applyFont="1" applyFill="1" applyBorder="1" applyAlignment="1" applyProtection="1">
      <alignment horizontal="center" vertical="center" textRotation="255" wrapText="1"/>
    </xf>
    <xf numFmtId="0" fontId="260" fillId="6" borderId="14" xfId="10" applyFont="1" applyFill="1" applyBorder="1" applyAlignment="1" applyProtection="1">
      <alignment horizontal="center" vertical="center" textRotation="255" wrapText="1"/>
    </xf>
    <xf numFmtId="0" fontId="260" fillId="6" borderId="41" xfId="10" applyFont="1" applyFill="1" applyBorder="1" applyAlignment="1" applyProtection="1">
      <alignment horizontal="center" vertical="center" textRotation="255" wrapText="1"/>
    </xf>
    <xf numFmtId="0" fontId="260" fillId="6" borderId="15" xfId="10" applyFont="1" applyFill="1" applyBorder="1" applyAlignment="1" applyProtection="1">
      <alignment horizontal="center" vertical="center" textRotation="255" wrapText="1"/>
    </xf>
    <xf numFmtId="0" fontId="260" fillId="6" borderId="2" xfId="10" applyFont="1" applyFill="1" applyBorder="1" applyAlignment="1" applyProtection="1">
      <alignment horizontal="center" vertical="center" textRotation="255" wrapText="1"/>
    </xf>
    <xf numFmtId="0" fontId="260" fillId="6" borderId="6" xfId="10" applyFont="1" applyFill="1" applyBorder="1" applyAlignment="1" applyProtection="1">
      <alignment horizontal="center" vertical="center" wrapText="1"/>
    </xf>
    <xf numFmtId="0" fontId="260" fillId="6" borderId="10" xfId="10" applyFont="1" applyFill="1" applyBorder="1" applyAlignment="1" applyProtection="1">
      <alignment horizontal="center" vertical="center" wrapText="1"/>
    </xf>
    <xf numFmtId="0" fontId="260" fillId="6" borderId="30" xfId="10" applyFont="1" applyFill="1" applyBorder="1" applyAlignment="1" applyProtection="1">
      <alignment horizontal="center" vertical="center" wrapText="1"/>
    </xf>
    <xf numFmtId="0" fontId="260" fillId="6" borderId="28" xfId="10" applyFont="1" applyFill="1" applyBorder="1" applyAlignment="1" applyProtection="1">
      <alignment horizontal="center" vertical="center" wrapText="1"/>
    </xf>
    <xf numFmtId="0" fontId="260" fillId="6" borderId="16" xfId="10" applyFont="1" applyFill="1" applyBorder="1" applyAlignment="1" applyProtection="1">
      <alignment horizontal="center" vertical="center" wrapText="1"/>
    </xf>
    <xf numFmtId="0" fontId="260" fillId="6" borderId="39" xfId="10" applyFont="1" applyFill="1" applyBorder="1" applyAlignment="1" applyProtection="1">
      <alignment horizontal="center" vertical="center" wrapText="1"/>
    </xf>
    <xf numFmtId="0" fontId="260" fillId="6" borderId="18" xfId="10" applyFont="1" applyFill="1" applyBorder="1" applyAlignment="1" applyProtection="1">
      <alignment horizontal="center" vertical="center" wrapText="1"/>
    </xf>
    <xf numFmtId="0" fontId="260" fillId="6" borderId="35" xfId="10" applyFont="1" applyFill="1" applyBorder="1" applyAlignment="1" applyProtection="1">
      <alignment horizontal="center" vertical="center" wrapText="1"/>
    </xf>
    <xf numFmtId="0" fontId="260" fillId="6" borderId="69" xfId="10" applyFont="1" applyFill="1" applyBorder="1" applyAlignment="1" applyProtection="1">
      <alignment horizontal="center" vertical="center" wrapText="1"/>
    </xf>
    <xf numFmtId="0" fontId="260" fillId="6" borderId="7" xfId="10" applyFont="1" applyFill="1" applyBorder="1" applyAlignment="1" applyProtection="1">
      <alignment horizontal="center" vertical="center" wrapText="1"/>
    </xf>
    <xf numFmtId="0" fontId="260" fillId="0" borderId="3" xfId="10" applyFont="1" applyFill="1" applyBorder="1" applyAlignment="1" applyProtection="1">
      <alignment horizontal="center" vertical="center" wrapText="1"/>
      <protection locked="0"/>
    </xf>
    <xf numFmtId="0" fontId="260"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260" fillId="0" borderId="24" xfId="10" applyFont="1" applyFill="1" applyBorder="1" applyAlignment="1" applyProtection="1">
      <alignment horizontal="center" vertical="center" wrapText="1"/>
      <protection locked="0"/>
    </xf>
    <xf numFmtId="0" fontId="260" fillId="0" borderId="11" xfId="10" applyFont="1" applyFill="1" applyBorder="1" applyAlignment="1" applyProtection="1">
      <alignment horizontal="center" vertical="center" wrapText="1"/>
      <protection locked="0"/>
    </xf>
    <xf numFmtId="0" fontId="260" fillId="0" borderId="61" xfId="10" applyFont="1" applyFill="1" applyBorder="1" applyAlignment="1" applyProtection="1">
      <alignment horizontal="center" vertical="center" wrapText="1"/>
      <protection locked="0"/>
    </xf>
    <xf numFmtId="0" fontId="260" fillId="0" borderId="22" xfId="10" applyFont="1" applyFill="1" applyBorder="1" applyAlignment="1" applyProtection="1">
      <alignment horizontal="center" vertical="center" wrapText="1"/>
      <protection locked="0"/>
    </xf>
    <xf numFmtId="0" fontId="260" fillId="0" borderId="46" xfId="10"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5" xfId="10" applyFont="1" applyFill="1" applyBorder="1" applyAlignment="1" applyProtection="1">
      <alignment horizontal="center" vertical="center"/>
    </xf>
    <xf numFmtId="0" fontId="22" fillId="6" borderId="3" xfId="10" applyFont="1" applyFill="1" applyBorder="1" applyAlignment="1" applyProtection="1">
      <alignment horizontal="center" vertical="center"/>
    </xf>
    <xf numFmtId="0" fontId="260" fillId="6" borderId="29" xfId="10" applyFont="1" applyFill="1" applyBorder="1" applyAlignment="1" applyProtection="1">
      <alignment horizontal="center" vertical="center"/>
    </xf>
    <xf numFmtId="0" fontId="260" fillId="6" borderId="39" xfId="10" applyFont="1" applyFill="1" applyBorder="1" applyAlignment="1" applyProtection="1">
      <alignment horizontal="center" vertical="center"/>
    </xf>
    <xf numFmtId="0" fontId="260" fillId="6" borderId="58" xfId="10" applyFont="1" applyFill="1" applyBorder="1" applyAlignment="1" applyProtection="1">
      <alignment horizontal="center" vertical="center"/>
    </xf>
    <xf numFmtId="0" fontId="260" fillId="6" borderId="35" xfId="10" applyFont="1" applyFill="1" applyBorder="1" applyAlignment="1" applyProtection="1">
      <alignment horizontal="center" vertical="center"/>
    </xf>
    <xf numFmtId="0" fontId="260" fillId="6" borderId="62" xfId="10" applyFont="1" applyFill="1" applyBorder="1" applyAlignment="1" applyProtection="1">
      <alignment horizontal="center" vertical="center"/>
    </xf>
    <xf numFmtId="0" fontId="260" fillId="6" borderId="53" xfId="10" applyFont="1" applyFill="1" applyBorder="1" applyAlignment="1" applyProtection="1">
      <alignment horizontal="center" vertical="center"/>
    </xf>
    <xf numFmtId="0" fontId="260" fillId="6" borderId="8" xfId="10" applyFont="1" applyFill="1" applyBorder="1" applyAlignment="1" applyProtection="1">
      <alignment horizontal="center" vertical="center"/>
    </xf>
    <xf numFmtId="0" fontId="260" fillId="6" borderId="4" xfId="10" applyFont="1" applyFill="1" applyBorder="1" applyAlignment="1" applyProtection="1">
      <alignment horizontal="center" vertical="center"/>
    </xf>
    <xf numFmtId="0" fontId="260" fillId="6" borderId="7" xfId="10" applyFont="1" applyFill="1" applyBorder="1" applyAlignment="1" applyProtection="1">
      <alignment horizontal="center" vertical="center"/>
    </xf>
    <xf numFmtId="0" fontId="260" fillId="6" borderId="9" xfId="10"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7" xfId="10" applyFont="1" applyFill="1" applyBorder="1" applyAlignment="1" applyProtection="1">
      <alignment horizontal="center" vertical="center"/>
    </xf>
    <xf numFmtId="0" fontId="260" fillId="6" borderId="15" xfId="10" applyFont="1" applyFill="1" applyBorder="1" applyAlignment="1" applyProtection="1">
      <alignment horizontal="center" vertical="center"/>
    </xf>
    <xf numFmtId="0" fontId="260" fillId="6" borderId="2" xfId="10" applyFont="1" applyFill="1" applyBorder="1" applyAlignment="1" applyProtection="1">
      <alignment horizontal="center" vertical="center"/>
    </xf>
    <xf numFmtId="0" fontId="22" fillId="6" borderId="37" xfId="10" applyFont="1" applyFill="1" applyBorder="1" applyAlignment="1" applyProtection="1">
      <alignment horizontal="center" vertical="center"/>
    </xf>
    <xf numFmtId="0" fontId="22" fillId="6" borderId="54" xfId="1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15" borderId="5" xfId="0" applyFont="1" applyFill="1" applyBorder="1" applyAlignment="1">
      <alignment horizontal="center" vertical="center"/>
    </xf>
    <xf numFmtId="0" fontId="99" fillId="15" borderId="54" xfId="0" applyFont="1" applyFill="1" applyBorder="1" applyAlignment="1">
      <alignment horizontal="center" vertical="center"/>
    </xf>
    <xf numFmtId="0" fontId="99" fillId="15"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6</xdr:col>
      <xdr:colOff>152799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4267598" cy="2409825"/>
        </a:xfrm>
        <a:prstGeom prst="rect">
          <a:avLst/>
        </a:prstGeom>
      </xdr:spPr>
    </xdr:pic>
    <xdr:clientData/>
  </xdr:twoCellAnchor>
  <xdr:twoCellAnchor editAs="oneCell">
    <xdr:from>
      <xdr:col>6</xdr:col>
      <xdr:colOff>152400</xdr:colOff>
      <xdr:row>0</xdr:row>
      <xdr:rowOff>152401</xdr:rowOff>
    </xdr:from>
    <xdr:to>
      <xdr:col>12</xdr:col>
      <xdr:colOff>618093</xdr:colOff>
      <xdr:row>15</xdr:row>
      <xdr:rowOff>169396</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0" y="152401"/>
          <a:ext cx="4580493" cy="2588745"/>
        </a:xfrm>
        <a:prstGeom prst="rect">
          <a:avLst/>
        </a:prstGeom>
      </xdr:spPr>
    </xdr:pic>
    <xdr:clientData/>
  </xdr:twoCellAnchor>
  <xdr:twoCellAnchor editAs="oneCell">
    <xdr:from>
      <xdr:col>12</xdr:col>
      <xdr:colOff>581025</xdr:colOff>
      <xdr:row>0</xdr:row>
      <xdr:rowOff>0</xdr:rowOff>
    </xdr:from>
    <xdr:to>
      <xdr:col>19</xdr:col>
      <xdr:colOff>541894</xdr:colOff>
      <xdr:row>15</xdr:row>
      <xdr:rowOff>127882</xdr:rowOff>
    </xdr:to>
    <xdr:pic>
      <xdr:nvPicPr>
        <xdr:cNvPr id="4" name="图片 3"/>
        <xdr:cNvPicPr>
          <a:picLocks noChangeAspect="1"/>
        </xdr:cNvPicPr>
      </xdr:nvPicPr>
      <xdr:blipFill>
        <a:blip xmlns:r="http://schemas.openxmlformats.org/officeDocument/2006/relationships" r:embed="rId3"/>
        <a:stretch>
          <a:fillRect/>
        </a:stretch>
      </xdr:blipFill>
      <xdr:spPr>
        <a:xfrm>
          <a:off x="8810625" y="0"/>
          <a:ext cx="4761469" cy="2699632"/>
        </a:xfrm>
        <a:prstGeom prst="rect">
          <a:avLst/>
        </a:prstGeom>
      </xdr:spPr>
    </xdr:pic>
    <xdr:clientData/>
  </xdr:twoCellAnchor>
  <xdr:twoCellAnchor editAs="oneCell">
    <xdr:from>
      <xdr:col>0</xdr:col>
      <xdr:colOff>0</xdr:colOff>
      <xdr:row>16</xdr:row>
      <xdr:rowOff>19051</xdr:rowOff>
    </xdr:from>
    <xdr:to>
      <xdr:col>5</xdr:col>
      <xdr:colOff>665547</xdr:colOff>
      <xdr:row>29</xdr:row>
      <xdr:rowOff>133351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62251"/>
          <a:ext cx="4094547" cy="2343150"/>
        </a:xfrm>
        <a:prstGeom prst="rect">
          <a:avLst/>
        </a:prstGeom>
      </xdr:spPr>
    </xdr:pic>
    <xdr:clientData/>
  </xdr:twoCellAnchor>
  <xdr:twoCellAnchor editAs="oneCell">
    <xdr:from>
      <xdr:col>6</xdr:col>
      <xdr:colOff>38100</xdr:colOff>
      <xdr:row>15</xdr:row>
      <xdr:rowOff>114300</xdr:rowOff>
    </xdr:from>
    <xdr:to>
      <xdr:col>12</xdr:col>
      <xdr:colOff>170426</xdr:colOff>
      <xdr:row>29</xdr:row>
      <xdr:rowOff>160661</xdr:rowOff>
    </xdr:to>
    <xdr:pic>
      <xdr:nvPicPr>
        <xdr:cNvPr id="6" name="图片 5"/>
        <xdr:cNvPicPr>
          <a:picLocks noChangeAspect="1"/>
        </xdr:cNvPicPr>
      </xdr:nvPicPr>
      <xdr:blipFill>
        <a:blip xmlns:r="http://schemas.openxmlformats.org/officeDocument/2006/relationships" r:embed="rId5"/>
        <a:stretch>
          <a:fillRect/>
        </a:stretch>
      </xdr:blipFill>
      <xdr:spPr>
        <a:xfrm>
          <a:off x="4152900" y="2686050"/>
          <a:ext cx="4247126" cy="2446661"/>
        </a:xfrm>
        <a:prstGeom prst="rect">
          <a:avLst/>
        </a:prstGeom>
      </xdr:spPr>
    </xdr:pic>
    <xdr:clientData/>
  </xdr:twoCellAnchor>
  <xdr:twoCellAnchor editAs="oneCell">
    <xdr:from>
      <xdr:col>0</xdr:col>
      <xdr:colOff>0</xdr:colOff>
      <xdr:row>32</xdr:row>
      <xdr:rowOff>1</xdr:rowOff>
    </xdr:from>
    <xdr:to>
      <xdr:col>8</xdr:col>
      <xdr:colOff>132080</xdr:colOff>
      <xdr:row>53</xdr:row>
      <xdr:rowOff>133351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1"/>
          <a:ext cx="5618480" cy="3733800"/>
        </a:xfrm>
        <a:prstGeom prst="rect">
          <a:avLst/>
        </a:prstGeom>
      </xdr:spPr>
    </xdr:pic>
    <xdr:clientData/>
  </xdr:twoCellAnchor>
  <xdr:twoCellAnchor editAs="oneCell">
    <xdr:from>
      <xdr:col>8</xdr:col>
      <xdr:colOff>123825</xdr:colOff>
      <xdr:row>32</xdr:row>
      <xdr:rowOff>1</xdr:rowOff>
    </xdr:from>
    <xdr:to>
      <xdr:col>16</xdr:col>
      <xdr:colOff>360445</xdr:colOff>
      <xdr:row>54</xdr:row>
      <xdr:rowOff>31374</xdr:rowOff>
    </xdr:to>
    <xdr:pic>
      <xdr:nvPicPr>
        <xdr:cNvPr id="8" name="图片 7"/>
        <xdr:cNvPicPr>
          <a:picLocks noChangeAspect="1"/>
        </xdr:cNvPicPr>
      </xdr:nvPicPr>
      <xdr:blipFill>
        <a:blip xmlns:r="http://schemas.openxmlformats.org/officeDocument/2006/relationships" r:embed="rId7"/>
        <a:stretch>
          <a:fillRect/>
        </a:stretch>
      </xdr:blipFill>
      <xdr:spPr>
        <a:xfrm>
          <a:off x="5610225" y="5486401"/>
          <a:ext cx="5723020" cy="3803273"/>
        </a:xfrm>
        <a:prstGeom prst="rect">
          <a:avLst/>
        </a:prstGeom>
      </xdr:spPr>
    </xdr:pic>
    <xdr:clientData/>
  </xdr:twoCellAnchor>
  <xdr:twoCellAnchor editAs="oneCell">
    <xdr:from>
      <xdr:col>0</xdr:col>
      <xdr:colOff>0</xdr:colOff>
      <xdr:row>53</xdr:row>
      <xdr:rowOff>142876</xdr:rowOff>
    </xdr:from>
    <xdr:to>
      <xdr:col>8</xdr:col>
      <xdr:colOff>219075</xdr:colOff>
      <xdr:row>75</xdr:row>
      <xdr:rowOff>162589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29726"/>
          <a:ext cx="5705475" cy="37916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2269;&#29790;A&#24231;18.5&#20159;&#24050;&#25253;&#20225;&#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8160;&#37329;&#40718;B&#24231;&#24037;&#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案例"/>
      <sheetName val="抵押明细"/>
      <sheetName val="比较法-办公 (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7">
          <cell r="B37" t="str">
            <v>四级</v>
          </cell>
          <cell r="C37" t="str">
            <v>六级</v>
          </cell>
          <cell r="D37" t="str">
            <v>三级</v>
          </cell>
          <cell r="E37" t="str">
            <v>八级</v>
          </cell>
        </row>
        <row r="38">
          <cell r="B38" t="str">
            <v>Ⅳ-02</v>
          </cell>
          <cell r="C38" t="str">
            <v>Ⅵ-亦1</v>
          </cell>
          <cell r="D38" t="str">
            <v>Ⅲ—06</v>
          </cell>
          <cell r="E38" t="str">
            <v>Ⅷ-房1</v>
          </cell>
        </row>
      </sheetData>
      <sheetData sheetId="11"/>
      <sheetData sheetId="12"/>
      <sheetData sheetId="13">
        <row r="3">
          <cell r="E3">
            <v>79847.489999999991</v>
          </cell>
        </row>
        <row r="4">
          <cell r="I4">
            <v>4.71</v>
          </cell>
        </row>
        <row r="6">
          <cell r="I6">
            <v>4.71</v>
          </cell>
        </row>
        <row r="7">
          <cell r="I7">
            <v>5.3</v>
          </cell>
        </row>
        <row r="17">
          <cell r="C17" t="str">
            <v>项目类型</v>
          </cell>
        </row>
        <row r="19">
          <cell r="C19" t="str">
            <v>地上商业</v>
          </cell>
          <cell r="E19">
            <v>6462.875</v>
          </cell>
        </row>
        <row r="20">
          <cell r="C20" t="str">
            <v>地上办公</v>
          </cell>
          <cell r="E20">
            <v>58525.624999999993</v>
          </cell>
        </row>
        <row r="21">
          <cell r="E21">
            <v>0</v>
          </cell>
        </row>
        <row r="22">
          <cell r="E22">
            <v>0</v>
          </cell>
        </row>
        <row r="23">
          <cell r="E23">
            <v>0</v>
          </cell>
        </row>
        <row r="24">
          <cell r="E24">
            <v>0</v>
          </cell>
        </row>
        <row r="25">
          <cell r="E25">
            <v>0</v>
          </cell>
        </row>
        <row r="26">
          <cell r="E26">
            <v>0</v>
          </cell>
        </row>
        <row r="27">
          <cell r="C27" t="str">
            <v>小计</v>
          </cell>
          <cell r="E27">
            <v>64988.499999999993</v>
          </cell>
          <cell r="F27">
            <v>64988.499999999993</v>
          </cell>
        </row>
        <row r="28">
          <cell r="C28" t="str">
            <v>设备及其他</v>
          </cell>
          <cell r="E28">
            <v>14858.989999999998</v>
          </cell>
        </row>
        <row r="29">
          <cell r="C29" t="str">
            <v>公共配套及物业（住宅）</v>
          </cell>
          <cell r="E29">
            <v>0</v>
          </cell>
        </row>
        <row r="30">
          <cell r="C30" t="str">
            <v>小计</v>
          </cell>
          <cell r="E30">
            <v>14858.989999999998</v>
          </cell>
        </row>
        <row r="31">
          <cell r="C31" t="str">
            <v>合计</v>
          </cell>
          <cell r="E31">
            <v>79847.489999999991</v>
          </cell>
        </row>
        <row r="32">
          <cell r="E32">
            <v>0</v>
          </cell>
        </row>
      </sheetData>
      <sheetData sheetId="14">
        <row r="2">
          <cell r="B2">
            <v>42962</v>
          </cell>
        </row>
        <row r="6">
          <cell r="C6" t="str">
            <v>商业</v>
          </cell>
          <cell r="F6">
            <v>31.87</v>
          </cell>
        </row>
        <row r="7">
          <cell r="C7" t="str">
            <v>办公</v>
          </cell>
          <cell r="F7">
            <v>41.87</v>
          </cell>
        </row>
        <row r="8">
          <cell r="F8">
            <v>0</v>
          </cell>
        </row>
        <row r="9">
          <cell r="F9">
            <v>0</v>
          </cell>
        </row>
        <row r="10">
          <cell r="F10">
            <v>0</v>
          </cell>
        </row>
        <row r="11">
          <cell r="F11">
            <v>0</v>
          </cell>
        </row>
        <row r="12">
          <cell r="F12">
            <v>0</v>
          </cell>
        </row>
        <row r="13">
          <cell r="F13">
            <v>0</v>
          </cell>
        </row>
        <row r="14">
          <cell r="C14" t="str">
            <v>设备及其他</v>
          </cell>
        </row>
        <row r="15">
          <cell r="C15" t="str">
            <v>公共配套</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row r="4">
          <cell r="C4" t="str">
            <v>估价对象周边商业氛围较成熟，附近有大型商场，人流量较大，商业繁华度较好</v>
          </cell>
        </row>
        <row r="15">
          <cell r="C15">
            <v>0</v>
          </cell>
          <cell r="G15" t="str">
            <v>估价对象位于北京经济技术开发区，园区建设成熟，产业集聚程度较好</v>
          </cell>
        </row>
        <row r="16">
          <cell r="G16" t="str">
            <v>估价对象周边道路状况、公共交通通达情况、停车便捷程度，综合评价交通便捷度较好</v>
          </cell>
        </row>
        <row r="17">
          <cell r="C17" t="str">
            <v>估价对象周边办公楼项目较多，入驻率高，办公集聚程度较好</v>
          </cell>
          <cell r="G17" t="str">
            <v>零星有其他用地，基本不影响本宗地</v>
          </cell>
        </row>
        <row r="18">
          <cell r="C18" t="str">
            <v>估价对象周边道路通达、公共交通便捷、停车便捷，临地铁亦庄线，综合评价交通便捷度较好</v>
          </cell>
          <cell r="G18" t="str">
            <v>该园区内无污染型企业，绿化较好，卫生条件良好，整体环境状况较好</v>
          </cell>
        </row>
        <row r="19">
          <cell r="C19" t="str">
            <v>零星有其他用地，基本不影响本宗地</v>
          </cell>
          <cell r="G19" t="str">
            <v>估价对象所在区域公共配套设施齐备情况</v>
          </cell>
        </row>
        <row r="20">
          <cell r="C20" t="str">
            <v>临博大公园、国际企业文化园，自然环境好；人文环境一般；综合评价环境状况较好</v>
          </cell>
          <cell r="G20" t="str">
            <v>估价对象所在区域基础设施水平</v>
          </cell>
        </row>
        <row r="21">
          <cell r="C21" t="str">
            <v>估价对象所在区域公共配套设施较齐备</v>
          </cell>
        </row>
        <row r="22">
          <cell r="C22" t="str">
            <v>估价对象所在区域基础设施水平达七通</v>
          </cell>
          <cell r="G22" t="str">
            <v>城市次干道——荣京西街</v>
          </cell>
        </row>
        <row r="24">
          <cell r="C24" t="str">
            <v>城市次干道——荣京西街</v>
          </cell>
        </row>
      </sheetData>
      <sheetData sheetId="16"/>
      <sheetData sheetId="17"/>
      <sheetData sheetId="18"/>
      <sheetData sheetId="19"/>
      <sheetData sheetId="20"/>
      <sheetData sheetId="21">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efreshError="1"/>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2">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3">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4">
        <row r="1">
          <cell r="B1" t="str">
            <v>一级</v>
          </cell>
          <cell r="C1" t="str">
            <v>二级</v>
          </cell>
          <cell r="D1" t="str">
            <v>三级</v>
          </cell>
          <cell r="E1" t="str">
            <v>四级</v>
          </cell>
          <cell r="F1" t="str">
            <v>五级</v>
          </cell>
          <cell r="G1" t="str">
            <v>六级</v>
          </cell>
          <cell r="H1" t="str">
            <v>七级</v>
          </cell>
          <cell r="I1" t="str">
            <v>八级</v>
          </cell>
          <cell r="J1" t="str">
            <v>九级</v>
          </cell>
          <cell r="K1" t="str">
            <v>十级</v>
          </cell>
          <cell r="L1" t="str">
            <v>十一级</v>
          </cell>
          <cell r="M1" t="str">
            <v>十二级</v>
          </cell>
        </row>
        <row r="2">
          <cell r="A2" t="str">
            <v>商业</v>
          </cell>
          <cell r="B2">
            <v>3.5</v>
          </cell>
          <cell r="C2">
            <v>3.5</v>
          </cell>
          <cell r="D2">
            <v>2.5</v>
          </cell>
          <cell r="E2">
            <v>2.5</v>
          </cell>
          <cell r="F2">
            <v>2.5</v>
          </cell>
          <cell r="G2">
            <v>2.5</v>
          </cell>
          <cell r="H2">
            <v>2.5</v>
          </cell>
          <cell r="I2">
            <v>2</v>
          </cell>
          <cell r="J2">
            <v>2</v>
          </cell>
          <cell r="K2">
            <v>2</v>
          </cell>
          <cell r="L2">
            <v>2</v>
          </cell>
          <cell r="M2">
            <v>2</v>
          </cell>
        </row>
        <row r="3">
          <cell r="A3" t="str">
            <v>办公</v>
          </cell>
          <cell r="B3">
            <v>3.5</v>
          </cell>
          <cell r="C3">
            <v>3.5</v>
          </cell>
          <cell r="D3">
            <v>2.5</v>
          </cell>
          <cell r="E3">
            <v>2.5</v>
          </cell>
          <cell r="F3">
            <v>2.5</v>
          </cell>
          <cell r="G3">
            <v>2.5</v>
          </cell>
          <cell r="H3">
            <v>2.5</v>
          </cell>
          <cell r="I3">
            <v>2</v>
          </cell>
          <cell r="J3">
            <v>2</v>
          </cell>
          <cell r="K3">
            <v>2</v>
          </cell>
          <cell r="L3">
            <v>2</v>
          </cell>
          <cell r="M3">
            <v>2</v>
          </cell>
        </row>
        <row r="4">
          <cell r="A4" t="str">
            <v>住宅</v>
          </cell>
          <cell r="B4">
            <v>2.5</v>
          </cell>
          <cell r="C4">
            <v>2.5</v>
          </cell>
          <cell r="D4">
            <v>2.5</v>
          </cell>
          <cell r="E4">
            <v>2.5</v>
          </cell>
          <cell r="F4">
            <v>2.5</v>
          </cell>
          <cell r="G4">
            <v>2.5</v>
          </cell>
          <cell r="H4">
            <v>2.5</v>
          </cell>
          <cell r="I4">
            <v>1.5</v>
          </cell>
          <cell r="J4">
            <v>1.5</v>
          </cell>
          <cell r="K4">
            <v>1.5</v>
          </cell>
          <cell r="L4">
            <v>1.5</v>
          </cell>
          <cell r="M4">
            <v>1.5</v>
          </cell>
        </row>
        <row r="5">
          <cell r="A5" t="str">
            <v>工业</v>
          </cell>
          <cell r="B5">
            <v>1.5</v>
          </cell>
          <cell r="C5">
            <v>1.5</v>
          </cell>
          <cell r="D5">
            <v>1.5</v>
          </cell>
          <cell r="E5">
            <v>1.5</v>
          </cell>
          <cell r="F5">
            <v>1.5</v>
          </cell>
          <cell r="G5">
            <v>1.2</v>
          </cell>
          <cell r="H5">
            <v>1.2</v>
          </cell>
          <cell r="I5">
            <v>1</v>
          </cell>
          <cell r="J5">
            <v>1</v>
          </cell>
          <cell r="K5">
            <v>1</v>
          </cell>
          <cell r="L5">
            <v>1</v>
          </cell>
          <cell r="M5">
            <v>1</v>
          </cell>
        </row>
        <row r="6">
          <cell r="A6" t="str">
            <v>通路</v>
          </cell>
          <cell r="B6">
            <v>80</v>
          </cell>
          <cell r="C6">
            <v>80</v>
          </cell>
          <cell r="D6">
            <v>65</v>
          </cell>
          <cell r="E6">
            <v>65</v>
          </cell>
          <cell r="F6">
            <v>65</v>
          </cell>
          <cell r="G6">
            <v>65</v>
          </cell>
          <cell r="H6">
            <v>65</v>
          </cell>
          <cell r="I6">
            <v>50</v>
          </cell>
          <cell r="J6">
            <v>50</v>
          </cell>
          <cell r="K6">
            <v>50</v>
          </cell>
          <cell r="L6">
            <v>50</v>
          </cell>
          <cell r="M6">
            <v>50</v>
          </cell>
        </row>
        <row r="7">
          <cell r="A7" t="str">
            <v>通电</v>
          </cell>
          <cell r="B7">
            <v>70</v>
          </cell>
          <cell r="C7">
            <v>70</v>
          </cell>
          <cell r="D7">
            <v>55</v>
          </cell>
          <cell r="E7">
            <v>55</v>
          </cell>
          <cell r="F7">
            <v>55</v>
          </cell>
          <cell r="G7">
            <v>55</v>
          </cell>
          <cell r="H7">
            <v>55</v>
          </cell>
          <cell r="I7">
            <v>40</v>
          </cell>
          <cell r="J7">
            <v>40</v>
          </cell>
          <cell r="K7">
            <v>40</v>
          </cell>
          <cell r="L7">
            <v>40</v>
          </cell>
          <cell r="M7">
            <v>40</v>
          </cell>
        </row>
        <row r="8">
          <cell r="A8" t="str">
            <v>通讯</v>
          </cell>
          <cell r="B8">
            <v>20</v>
          </cell>
          <cell r="C8">
            <v>20</v>
          </cell>
          <cell r="D8">
            <v>15</v>
          </cell>
          <cell r="E8">
            <v>15</v>
          </cell>
          <cell r="F8">
            <v>15</v>
          </cell>
          <cell r="G8">
            <v>15</v>
          </cell>
          <cell r="H8">
            <v>15</v>
          </cell>
          <cell r="I8">
            <v>10</v>
          </cell>
          <cell r="J8">
            <v>10</v>
          </cell>
          <cell r="K8">
            <v>10</v>
          </cell>
          <cell r="L8">
            <v>10</v>
          </cell>
          <cell r="M8">
            <v>10</v>
          </cell>
        </row>
        <row r="9">
          <cell r="A9" t="str">
            <v>通上水</v>
          </cell>
          <cell r="B9">
            <v>30</v>
          </cell>
          <cell r="C9">
            <v>30</v>
          </cell>
          <cell r="D9">
            <v>25</v>
          </cell>
          <cell r="E9">
            <v>25</v>
          </cell>
          <cell r="F9">
            <v>25</v>
          </cell>
          <cell r="G9">
            <v>25</v>
          </cell>
          <cell r="H9">
            <v>25</v>
          </cell>
          <cell r="I9">
            <v>20</v>
          </cell>
          <cell r="J9">
            <v>20</v>
          </cell>
          <cell r="K9">
            <v>20</v>
          </cell>
          <cell r="L9">
            <v>20</v>
          </cell>
          <cell r="M9">
            <v>20</v>
          </cell>
        </row>
        <row r="10">
          <cell r="A10" t="str">
            <v>通下水</v>
          </cell>
          <cell r="B10">
            <v>45</v>
          </cell>
          <cell r="C10">
            <v>45</v>
          </cell>
          <cell r="D10">
            <v>35</v>
          </cell>
          <cell r="E10">
            <v>35</v>
          </cell>
          <cell r="F10">
            <v>35</v>
          </cell>
          <cell r="G10">
            <v>35</v>
          </cell>
          <cell r="H10">
            <v>35</v>
          </cell>
          <cell r="I10">
            <v>25</v>
          </cell>
          <cell r="J10">
            <v>25</v>
          </cell>
          <cell r="K10">
            <v>25</v>
          </cell>
          <cell r="L10">
            <v>25</v>
          </cell>
          <cell r="M10">
            <v>25</v>
          </cell>
        </row>
        <row r="11">
          <cell r="A11" t="str">
            <v>通热</v>
          </cell>
          <cell r="B11">
            <v>60</v>
          </cell>
          <cell r="C11">
            <v>60</v>
          </cell>
          <cell r="D11">
            <v>50</v>
          </cell>
          <cell r="E11">
            <v>50</v>
          </cell>
          <cell r="F11">
            <v>50</v>
          </cell>
          <cell r="G11">
            <v>50</v>
          </cell>
          <cell r="H11">
            <v>50</v>
          </cell>
          <cell r="I11">
            <v>40</v>
          </cell>
          <cell r="J11">
            <v>40</v>
          </cell>
          <cell r="K11">
            <v>40</v>
          </cell>
          <cell r="L11">
            <v>40</v>
          </cell>
          <cell r="M11">
            <v>40</v>
          </cell>
        </row>
        <row r="12">
          <cell r="A12" t="str">
            <v>燃气</v>
          </cell>
          <cell r="B12">
            <v>50</v>
          </cell>
          <cell r="C12">
            <v>50</v>
          </cell>
          <cell r="D12">
            <v>40</v>
          </cell>
          <cell r="E12">
            <v>40</v>
          </cell>
          <cell r="F12">
            <v>40</v>
          </cell>
          <cell r="G12">
            <v>40</v>
          </cell>
          <cell r="H12">
            <v>40</v>
          </cell>
          <cell r="I12">
            <v>30</v>
          </cell>
          <cell r="J12">
            <v>30</v>
          </cell>
          <cell r="K12">
            <v>30</v>
          </cell>
          <cell r="L12">
            <v>30</v>
          </cell>
          <cell r="M12">
            <v>30</v>
          </cell>
        </row>
        <row r="13">
          <cell r="A13" t="str">
            <v>平整</v>
          </cell>
          <cell r="B13">
            <v>20</v>
          </cell>
          <cell r="C13">
            <v>20</v>
          </cell>
          <cell r="D13">
            <v>15</v>
          </cell>
          <cell r="E13">
            <v>15</v>
          </cell>
          <cell r="F13">
            <v>15</v>
          </cell>
          <cell r="G13">
            <v>15</v>
          </cell>
          <cell r="H13">
            <v>15</v>
          </cell>
          <cell r="I13">
            <v>10</v>
          </cell>
          <cell r="J13">
            <v>10</v>
          </cell>
          <cell r="K13">
            <v>10</v>
          </cell>
          <cell r="L13">
            <v>10</v>
          </cell>
          <cell r="M13">
            <v>10</v>
          </cell>
        </row>
        <row r="14">
          <cell r="A14" t="str">
            <v>——</v>
          </cell>
          <cell r="B14">
            <v>0</v>
          </cell>
          <cell r="C14">
            <v>0</v>
          </cell>
          <cell r="D14">
            <v>0</v>
          </cell>
          <cell r="E14">
            <v>0</v>
          </cell>
          <cell r="F14">
            <v>0</v>
          </cell>
          <cell r="G14">
            <v>0</v>
          </cell>
          <cell r="H14">
            <v>0</v>
          </cell>
          <cell r="I14">
            <v>0</v>
          </cell>
          <cell r="J14">
            <v>0</v>
          </cell>
          <cell r="K14">
            <v>0</v>
          </cell>
          <cell r="L14">
            <v>0</v>
          </cell>
          <cell r="M14">
            <v>0</v>
          </cell>
        </row>
        <row r="17">
          <cell r="C17" t="str">
            <v>二级分类</v>
          </cell>
        </row>
        <row r="18">
          <cell r="C18" t="str">
            <v>批发零售用地</v>
          </cell>
          <cell r="E18">
            <v>1</v>
          </cell>
        </row>
        <row r="19">
          <cell r="C19" t="str">
            <v>住宿餐饮用地</v>
          </cell>
          <cell r="E19">
            <v>0.9</v>
          </cell>
        </row>
        <row r="20">
          <cell r="C20" t="str">
            <v>商务金融用地（商业类）</v>
          </cell>
          <cell r="E20">
            <v>1.1000000000000001</v>
          </cell>
        </row>
        <row r="21">
          <cell r="C21" t="str">
            <v>其他商服用地</v>
          </cell>
          <cell r="E21">
            <v>0.8</v>
          </cell>
        </row>
        <row r="22">
          <cell r="C22" t="str">
            <v>殡葬用地等特殊用地</v>
          </cell>
          <cell r="E22">
            <v>0.5</v>
          </cell>
        </row>
        <row r="23">
          <cell r="C23" t="str">
            <v>商务金融用地（办公类）</v>
          </cell>
          <cell r="E23">
            <v>1</v>
          </cell>
        </row>
        <row r="24">
          <cell r="C24" t="str">
            <v>其他商服用地（停车场、停车楼等用地）</v>
          </cell>
          <cell r="E24">
            <v>0.5</v>
          </cell>
        </row>
        <row r="25">
          <cell r="C25" t="str">
            <v>其他商服用地（指展览馆、会展中心等用地）</v>
          </cell>
          <cell r="E25">
            <v>1.1000000000000001</v>
          </cell>
        </row>
        <row r="26">
          <cell r="C26" t="str">
            <v>机场航站楼用地</v>
          </cell>
          <cell r="E26">
            <v>1.1000000000000001</v>
          </cell>
        </row>
        <row r="27">
          <cell r="C27" t="str">
            <v>科教用地</v>
          </cell>
          <cell r="E27">
            <v>0.9</v>
          </cell>
        </row>
        <row r="28">
          <cell r="C28" t="str">
            <v>新闻出版用地</v>
          </cell>
          <cell r="E28">
            <v>0.9</v>
          </cell>
        </row>
        <row r="29">
          <cell r="C29" t="str">
            <v>机关团体用地</v>
          </cell>
          <cell r="E29">
            <v>0.9</v>
          </cell>
        </row>
        <row r="30">
          <cell r="C30" t="str">
            <v>医卫慈善用地</v>
          </cell>
          <cell r="E30">
            <v>0.9</v>
          </cell>
        </row>
        <row r="31">
          <cell r="C31" t="str">
            <v>文体娱乐用地</v>
          </cell>
          <cell r="E31">
            <v>0.8</v>
          </cell>
        </row>
        <row r="32">
          <cell r="C32" t="str">
            <v>产业用地</v>
          </cell>
          <cell r="E32">
            <v>0.8</v>
          </cell>
        </row>
        <row r="33">
          <cell r="C33" t="str">
            <v>居住用地（指二类居住用地）</v>
          </cell>
          <cell r="E33">
            <v>1</v>
          </cell>
        </row>
        <row r="34">
          <cell r="C34" t="str">
            <v>居住用地（指一类居住用地）</v>
          </cell>
          <cell r="E34">
            <v>1.5</v>
          </cell>
        </row>
        <row r="35">
          <cell r="C35" t="str">
            <v>工业用地</v>
          </cell>
          <cell r="E35">
            <v>1</v>
          </cell>
        </row>
        <row r="36">
          <cell r="C36" t="str">
            <v>采矿用地</v>
          </cell>
          <cell r="E36">
            <v>1</v>
          </cell>
        </row>
        <row r="37">
          <cell r="C37" t="str">
            <v>仓储用地</v>
          </cell>
          <cell r="E37">
            <v>1.5</v>
          </cell>
        </row>
        <row r="38">
          <cell r="C38" t="str">
            <v>公共设施用地</v>
          </cell>
          <cell r="E38">
            <v>1</v>
          </cell>
        </row>
        <row r="39">
          <cell r="C39" t="str">
            <v>交通用地</v>
          </cell>
          <cell r="E39">
            <v>1</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cell r="E59" t="str">
            <v>加价幅度</v>
          </cell>
          <cell r="F59" t="str">
            <v>标准深度（m）</v>
          </cell>
        </row>
        <row r="60">
          <cell r="C60" t="str">
            <v>不临58条商业街</v>
          </cell>
          <cell r="E60" t="str">
            <v>——</v>
          </cell>
          <cell r="F60" t="str">
            <v>——</v>
          </cell>
        </row>
        <row r="61">
          <cell r="C61" t="str">
            <v>东长安街</v>
          </cell>
          <cell r="E61">
            <v>0.5</v>
          </cell>
          <cell r="F61">
            <v>80</v>
          </cell>
        </row>
        <row r="62">
          <cell r="C62" t="str">
            <v>建国门内大街</v>
          </cell>
          <cell r="E62">
            <v>0.5</v>
          </cell>
          <cell r="F62">
            <v>80</v>
          </cell>
        </row>
        <row r="63">
          <cell r="C63" t="str">
            <v>王府井商业街</v>
          </cell>
          <cell r="E63">
            <v>0.5</v>
          </cell>
          <cell r="F63">
            <v>80</v>
          </cell>
        </row>
        <row r="64">
          <cell r="C64" t="str">
            <v>东单北大街</v>
          </cell>
          <cell r="E64">
            <v>0.4</v>
          </cell>
          <cell r="F64">
            <v>60</v>
          </cell>
        </row>
        <row r="65">
          <cell r="C65" t="str">
            <v>东四南大街</v>
          </cell>
          <cell r="E65">
            <v>0.2</v>
          </cell>
          <cell r="F65">
            <v>30</v>
          </cell>
        </row>
        <row r="66">
          <cell r="C66" t="str">
            <v>东直门内大街      （簋街）</v>
          </cell>
          <cell r="E66">
            <v>0.3</v>
          </cell>
          <cell r="F66">
            <v>50</v>
          </cell>
        </row>
        <row r="67">
          <cell r="C67" t="str">
            <v>北京站东街</v>
          </cell>
          <cell r="E67">
            <v>0.2</v>
          </cell>
          <cell r="F67">
            <v>30</v>
          </cell>
        </row>
        <row r="68">
          <cell r="C68" t="str">
            <v>北京站街</v>
          </cell>
          <cell r="E68">
            <v>0.2</v>
          </cell>
          <cell r="F68">
            <v>30</v>
          </cell>
        </row>
        <row r="69">
          <cell r="C69" t="str">
            <v>东四十条</v>
          </cell>
          <cell r="E69">
            <v>0.2</v>
          </cell>
          <cell r="F69">
            <v>30</v>
          </cell>
        </row>
        <row r="70">
          <cell r="C70" t="str">
            <v>张自忠路</v>
          </cell>
          <cell r="E70">
            <v>0.2</v>
          </cell>
          <cell r="F70">
            <v>30</v>
          </cell>
        </row>
        <row r="71">
          <cell r="C71" t="str">
            <v>地安门东大街</v>
          </cell>
          <cell r="E71">
            <v>0.2</v>
          </cell>
          <cell r="F71">
            <v>30</v>
          </cell>
        </row>
        <row r="72">
          <cell r="C72" t="str">
            <v>前门商业街</v>
          </cell>
          <cell r="E72">
            <v>0.5</v>
          </cell>
          <cell r="F72">
            <v>80</v>
          </cell>
        </row>
        <row r="73">
          <cell r="C73" t="str">
            <v>崇外商业街</v>
          </cell>
          <cell r="E73">
            <v>0.4</v>
          </cell>
          <cell r="F73">
            <v>60</v>
          </cell>
        </row>
        <row r="74">
          <cell r="C74" t="str">
            <v>广渠门内大街</v>
          </cell>
          <cell r="E74">
            <v>0.2</v>
          </cell>
          <cell r="F74">
            <v>30</v>
          </cell>
        </row>
        <row r="75">
          <cell r="C75" t="str">
            <v>珠市口东大街</v>
          </cell>
          <cell r="E75">
            <v>0.2</v>
          </cell>
          <cell r="F75">
            <v>30</v>
          </cell>
        </row>
        <row r="76">
          <cell r="C76" t="str">
            <v>西长安街</v>
          </cell>
          <cell r="E76">
            <v>0.5</v>
          </cell>
          <cell r="F76">
            <v>80</v>
          </cell>
        </row>
        <row r="77">
          <cell r="C77" t="str">
            <v>复兴门内大街</v>
          </cell>
          <cell r="E77">
            <v>0.5</v>
          </cell>
          <cell r="F77">
            <v>80</v>
          </cell>
        </row>
        <row r="78">
          <cell r="C78" t="str">
            <v>复兴门外大街</v>
          </cell>
          <cell r="E78">
            <v>0.2</v>
          </cell>
          <cell r="F78">
            <v>30</v>
          </cell>
        </row>
        <row r="79">
          <cell r="C79" t="str">
            <v>西单商业街</v>
          </cell>
          <cell r="E79">
            <v>0.5</v>
          </cell>
          <cell r="F79">
            <v>80</v>
          </cell>
        </row>
        <row r="80">
          <cell r="C80" t="str">
            <v>西四商业街</v>
          </cell>
          <cell r="E80">
            <v>0.2</v>
          </cell>
          <cell r="F80">
            <v>30</v>
          </cell>
        </row>
        <row r="81">
          <cell r="C81" t="str">
            <v>新街口商业街</v>
          </cell>
          <cell r="E81">
            <v>0.2</v>
          </cell>
          <cell r="F81">
            <v>30</v>
          </cell>
        </row>
        <row r="82">
          <cell r="C82" t="str">
            <v>双旗杆西街       （福利特商业街）</v>
          </cell>
          <cell r="E82">
            <v>0.2</v>
          </cell>
          <cell r="F82">
            <v>30</v>
          </cell>
        </row>
        <row r="83">
          <cell r="C83" t="str">
            <v>地安门西大街</v>
          </cell>
          <cell r="E83">
            <v>0.2</v>
          </cell>
          <cell r="F83">
            <v>30</v>
          </cell>
        </row>
        <row r="84">
          <cell r="C84" t="str">
            <v>平安里西大街</v>
          </cell>
          <cell r="E84">
            <v>0.2</v>
          </cell>
          <cell r="F84">
            <v>30</v>
          </cell>
        </row>
        <row r="85">
          <cell r="C85" t="str">
            <v>大栅栏商业街</v>
          </cell>
          <cell r="E85">
            <v>0.5</v>
          </cell>
          <cell r="F85">
            <v>80</v>
          </cell>
        </row>
        <row r="86">
          <cell r="C86" t="str">
            <v>珠市口西大街</v>
          </cell>
          <cell r="E86">
            <v>0.2</v>
          </cell>
          <cell r="F86">
            <v>30</v>
          </cell>
        </row>
        <row r="87">
          <cell r="C87" t="str">
            <v>骡马市大街</v>
          </cell>
          <cell r="E87">
            <v>0.2</v>
          </cell>
          <cell r="F87">
            <v>30</v>
          </cell>
        </row>
        <row r="88">
          <cell r="C88" t="str">
            <v>广安门内大街</v>
          </cell>
          <cell r="E88">
            <v>0.2</v>
          </cell>
          <cell r="F88">
            <v>30</v>
          </cell>
        </row>
        <row r="89">
          <cell r="C89" t="str">
            <v>宣武门外大街</v>
          </cell>
          <cell r="E89">
            <v>0.2</v>
          </cell>
          <cell r="F89">
            <v>30</v>
          </cell>
        </row>
        <row r="90">
          <cell r="C90" t="str">
            <v>菜市口大街</v>
          </cell>
          <cell r="E90">
            <v>0.2</v>
          </cell>
          <cell r="F90">
            <v>30</v>
          </cell>
        </row>
        <row r="91">
          <cell r="C91" t="str">
            <v>马连道路</v>
          </cell>
          <cell r="E91">
            <v>0.2</v>
          </cell>
          <cell r="F91">
            <v>30</v>
          </cell>
        </row>
        <row r="92">
          <cell r="C92" t="str">
            <v>朝外商业街</v>
          </cell>
          <cell r="E92">
            <v>0.2</v>
          </cell>
          <cell r="F92">
            <v>30</v>
          </cell>
        </row>
        <row r="93">
          <cell r="C93" t="str">
            <v>安立路</v>
          </cell>
          <cell r="E93">
            <v>0.2</v>
          </cell>
          <cell r="F93">
            <v>30</v>
          </cell>
        </row>
        <row r="94">
          <cell r="C94" t="str">
            <v>三里屯路</v>
          </cell>
          <cell r="E94">
            <v>0.2</v>
          </cell>
          <cell r="F94">
            <v>30</v>
          </cell>
        </row>
        <row r="95">
          <cell r="C95" t="str">
            <v>秀水街</v>
          </cell>
          <cell r="E95">
            <v>0.2</v>
          </cell>
          <cell r="F95">
            <v>30</v>
          </cell>
        </row>
        <row r="96">
          <cell r="C96" t="str">
            <v>大羊坊路         （十里河建材商业街）</v>
          </cell>
          <cell r="E96">
            <v>0.2</v>
          </cell>
          <cell r="F96">
            <v>30</v>
          </cell>
        </row>
        <row r="97">
          <cell r="C97" t="str">
            <v>建国门外大街</v>
          </cell>
          <cell r="E97">
            <v>0.2</v>
          </cell>
          <cell r="F97">
            <v>30</v>
          </cell>
        </row>
        <row r="98">
          <cell r="C98" t="str">
            <v>建国路</v>
          </cell>
          <cell r="E98">
            <v>0.2</v>
          </cell>
          <cell r="F98">
            <v>30</v>
          </cell>
        </row>
        <row r="99">
          <cell r="C99" t="str">
            <v>中关村大街</v>
          </cell>
          <cell r="E99">
            <v>0.3</v>
          </cell>
          <cell r="F99">
            <v>50</v>
          </cell>
        </row>
        <row r="100">
          <cell r="C100" t="str">
            <v>复兴路</v>
          </cell>
          <cell r="E100">
            <v>0.2</v>
          </cell>
          <cell r="F100">
            <v>30</v>
          </cell>
        </row>
        <row r="101">
          <cell r="C101" t="str">
            <v>海淀中路</v>
          </cell>
          <cell r="E101">
            <v>0.2</v>
          </cell>
          <cell r="F101">
            <v>30</v>
          </cell>
        </row>
        <row r="102">
          <cell r="C102" t="str">
            <v>蒲芳路、紫芳路    （方庄商业街）</v>
          </cell>
          <cell r="E102">
            <v>0.2</v>
          </cell>
          <cell r="F102">
            <v>30</v>
          </cell>
        </row>
        <row r="103">
          <cell r="C103" t="str">
            <v>石景山路</v>
          </cell>
          <cell r="E103">
            <v>0.2</v>
          </cell>
          <cell r="F103">
            <v>30</v>
          </cell>
        </row>
        <row r="104">
          <cell r="C104" t="str">
            <v>新桥大街</v>
          </cell>
          <cell r="E104">
            <v>0.2</v>
          </cell>
          <cell r="F104">
            <v>30</v>
          </cell>
        </row>
        <row r="105">
          <cell r="C105" t="str">
            <v>南关大街</v>
          </cell>
          <cell r="E105">
            <v>0.2</v>
          </cell>
          <cell r="F105">
            <v>30</v>
          </cell>
        </row>
        <row r="106">
          <cell r="C106" t="str">
            <v>拱辰大街</v>
          </cell>
          <cell r="E106">
            <v>0.2</v>
          </cell>
          <cell r="F106">
            <v>30</v>
          </cell>
        </row>
        <row r="107">
          <cell r="C107" t="str">
            <v>新华大街</v>
          </cell>
          <cell r="E107">
            <v>0.3</v>
          </cell>
          <cell r="F107">
            <v>50</v>
          </cell>
        </row>
        <row r="108">
          <cell r="C108" t="str">
            <v>云景东路</v>
          </cell>
          <cell r="E108">
            <v>0.2</v>
          </cell>
          <cell r="F108">
            <v>30</v>
          </cell>
        </row>
        <row r="109">
          <cell r="C109" t="str">
            <v>新顺大街</v>
          </cell>
          <cell r="E109">
            <v>0.2</v>
          </cell>
          <cell r="F109">
            <v>30</v>
          </cell>
        </row>
        <row r="110">
          <cell r="C110" t="str">
            <v>兴华大街</v>
          </cell>
          <cell r="E110">
            <v>0.2</v>
          </cell>
          <cell r="F110">
            <v>30</v>
          </cell>
        </row>
        <row r="111">
          <cell r="C111" t="str">
            <v>回龙观西大街</v>
          </cell>
          <cell r="E111">
            <v>0.2</v>
          </cell>
          <cell r="F111">
            <v>30</v>
          </cell>
        </row>
        <row r="112">
          <cell r="C112" t="str">
            <v>鼓楼东、西街</v>
          </cell>
          <cell r="E112">
            <v>0.2</v>
          </cell>
          <cell r="F112">
            <v>30</v>
          </cell>
        </row>
        <row r="113">
          <cell r="C113" t="str">
            <v>鼓楼南、北街</v>
          </cell>
          <cell r="E113">
            <v>0.2</v>
          </cell>
          <cell r="F113">
            <v>30</v>
          </cell>
        </row>
        <row r="114">
          <cell r="C114" t="str">
            <v>步行街</v>
          </cell>
          <cell r="E114">
            <v>0.2</v>
          </cell>
          <cell r="F114">
            <v>30</v>
          </cell>
        </row>
        <row r="115">
          <cell r="C115" t="str">
            <v>商业街</v>
          </cell>
          <cell r="E115">
            <v>0.2</v>
          </cell>
          <cell r="F115">
            <v>30</v>
          </cell>
        </row>
        <row r="116">
          <cell r="C116" t="str">
            <v>鼓楼东、西大街</v>
          </cell>
          <cell r="E116">
            <v>0.2</v>
          </cell>
          <cell r="F116">
            <v>30</v>
          </cell>
        </row>
        <row r="117">
          <cell r="C117" t="str">
            <v>鼓楼大街</v>
          </cell>
          <cell r="E117">
            <v>0.2</v>
          </cell>
          <cell r="F117">
            <v>30</v>
          </cell>
        </row>
        <row r="118">
          <cell r="C118" t="str">
            <v>东外大街</v>
          </cell>
          <cell r="E118">
            <v>0.2</v>
          </cell>
          <cell r="F118">
            <v>30</v>
          </cell>
        </row>
        <row r="119">
          <cell r="C119" t="str">
            <v>不临58条商业街</v>
          </cell>
          <cell r="E119" t="str">
            <v>——</v>
          </cell>
          <cell r="F119" t="str">
            <v>——</v>
          </cell>
        </row>
      </sheetData>
      <sheetData sheetId="35">
        <row r="2">
          <cell r="B2" t="str">
            <v>一级</v>
          </cell>
          <cell r="C2" t="str">
            <v>二级</v>
          </cell>
          <cell r="D2" t="str">
            <v>三级</v>
          </cell>
          <cell r="E2" t="str">
            <v>四级</v>
          </cell>
          <cell r="F2" t="str">
            <v>五级</v>
          </cell>
          <cell r="G2" t="str">
            <v>六级</v>
          </cell>
          <cell r="H2" t="str">
            <v>七级</v>
          </cell>
          <cell r="I2" t="str">
            <v>八级</v>
          </cell>
          <cell r="J2" t="str">
            <v>九级</v>
          </cell>
          <cell r="K2" t="str">
            <v>十级</v>
          </cell>
          <cell r="L2" t="str">
            <v>十一级</v>
          </cell>
          <cell r="M2" t="str">
            <v>十二级</v>
          </cell>
        </row>
        <row r="3">
          <cell r="A3">
            <v>0.1</v>
          </cell>
          <cell r="B3">
            <v>15.052</v>
          </cell>
          <cell r="C3">
            <v>15.052</v>
          </cell>
          <cell r="D3">
            <v>14.263</v>
          </cell>
          <cell r="E3">
            <v>14.263</v>
          </cell>
          <cell r="F3">
            <v>14.263</v>
          </cell>
          <cell r="G3">
            <v>14.263</v>
          </cell>
          <cell r="H3">
            <v>14.263</v>
          </cell>
          <cell r="I3">
            <v>14.097</v>
          </cell>
          <cell r="J3">
            <v>14.097</v>
          </cell>
          <cell r="K3">
            <v>14.097</v>
          </cell>
          <cell r="L3">
            <v>14.097</v>
          </cell>
          <cell r="M3">
            <v>14.097</v>
          </cell>
        </row>
        <row r="4">
          <cell r="A4">
            <v>0.2</v>
          </cell>
          <cell r="B4">
            <v>7.5259999999999998</v>
          </cell>
          <cell r="C4">
            <v>7.5259999999999998</v>
          </cell>
          <cell r="D4">
            <v>7.1315</v>
          </cell>
          <cell r="E4">
            <v>7.1315</v>
          </cell>
          <cell r="F4">
            <v>7.1315</v>
          </cell>
          <cell r="G4">
            <v>7.1315</v>
          </cell>
          <cell r="H4">
            <v>7.1315</v>
          </cell>
          <cell r="I4">
            <v>7.0484999999999998</v>
          </cell>
          <cell r="J4">
            <v>7.0484999999999998</v>
          </cell>
          <cell r="K4">
            <v>7.0484999999999998</v>
          </cell>
          <cell r="L4">
            <v>7.0484999999999998</v>
          </cell>
          <cell r="M4">
            <v>7.0484999999999998</v>
          </cell>
        </row>
        <row r="5">
          <cell r="A5">
            <v>0.3</v>
          </cell>
          <cell r="B5">
            <v>5.0172999999999996</v>
          </cell>
          <cell r="C5">
            <v>5.0172999999999996</v>
          </cell>
          <cell r="D5">
            <v>4.7542999999999997</v>
          </cell>
          <cell r="E5">
            <v>4.7542999999999997</v>
          </cell>
          <cell r="F5">
            <v>4.7542999999999997</v>
          </cell>
          <cell r="G5">
            <v>4.7542999999999997</v>
          </cell>
          <cell r="H5">
            <v>4.7542999999999997</v>
          </cell>
          <cell r="I5">
            <v>4.6989999999999998</v>
          </cell>
          <cell r="J5">
            <v>4.6989999999999998</v>
          </cell>
          <cell r="K5">
            <v>4.6989999999999998</v>
          </cell>
          <cell r="L5">
            <v>4.6989999999999998</v>
          </cell>
          <cell r="M5">
            <v>4.6989999999999998</v>
          </cell>
        </row>
        <row r="6">
          <cell r="A6">
            <v>0.4</v>
          </cell>
          <cell r="B6">
            <v>3.7629999999999999</v>
          </cell>
          <cell r="C6">
            <v>3.7629999999999999</v>
          </cell>
          <cell r="D6">
            <v>3.5657999999999999</v>
          </cell>
          <cell r="E6">
            <v>3.5657999999999999</v>
          </cell>
          <cell r="F6">
            <v>3.5657999999999999</v>
          </cell>
          <cell r="G6">
            <v>3.5657999999999999</v>
          </cell>
          <cell r="H6">
            <v>3.5657999999999999</v>
          </cell>
          <cell r="I6">
            <v>3.5243000000000002</v>
          </cell>
          <cell r="J6">
            <v>3.5243000000000002</v>
          </cell>
          <cell r="K6">
            <v>3.5243000000000002</v>
          </cell>
          <cell r="L6">
            <v>3.5243000000000002</v>
          </cell>
          <cell r="M6">
            <v>3.5243000000000002</v>
          </cell>
        </row>
        <row r="7">
          <cell r="A7">
            <v>0.5</v>
          </cell>
          <cell r="B7">
            <v>3.0104000000000002</v>
          </cell>
          <cell r="C7">
            <v>3.0104000000000002</v>
          </cell>
          <cell r="D7">
            <v>2.8525999999999998</v>
          </cell>
          <cell r="E7">
            <v>2.8525999999999998</v>
          </cell>
          <cell r="F7">
            <v>2.8525999999999998</v>
          </cell>
          <cell r="G7">
            <v>2.8525999999999998</v>
          </cell>
          <cell r="H7">
            <v>2.8525999999999998</v>
          </cell>
          <cell r="I7">
            <v>2.8193999999999999</v>
          </cell>
          <cell r="J7">
            <v>2.8193999999999999</v>
          </cell>
          <cell r="K7">
            <v>2.8193999999999999</v>
          </cell>
          <cell r="L7">
            <v>2.8193999999999999</v>
          </cell>
          <cell r="M7">
            <v>2.8193999999999999</v>
          </cell>
        </row>
        <row r="8">
          <cell r="A8">
            <v>0.6</v>
          </cell>
          <cell r="B8">
            <v>2.5087000000000002</v>
          </cell>
          <cell r="C8">
            <v>2.5087000000000002</v>
          </cell>
          <cell r="D8">
            <v>2.3772000000000002</v>
          </cell>
          <cell r="E8">
            <v>2.3772000000000002</v>
          </cell>
          <cell r="F8">
            <v>2.3772000000000002</v>
          </cell>
          <cell r="G8">
            <v>2.3772000000000002</v>
          </cell>
          <cell r="H8">
            <v>2.3772000000000002</v>
          </cell>
          <cell r="I8">
            <v>2.3494999999999999</v>
          </cell>
          <cell r="J8">
            <v>2.3494999999999999</v>
          </cell>
          <cell r="K8">
            <v>2.3494999999999999</v>
          </cell>
          <cell r="L8">
            <v>2.3494999999999999</v>
          </cell>
          <cell r="M8">
            <v>2.3494999999999999</v>
          </cell>
        </row>
        <row r="9">
          <cell r="A9">
            <v>0.7</v>
          </cell>
          <cell r="B9">
            <v>2.1503000000000001</v>
          </cell>
          <cell r="C9">
            <v>2.1503000000000001</v>
          </cell>
          <cell r="D9">
            <v>2.0375999999999999</v>
          </cell>
          <cell r="E9">
            <v>2.0375999999999999</v>
          </cell>
          <cell r="F9">
            <v>2.0375999999999999</v>
          </cell>
          <cell r="G9">
            <v>2.0375999999999999</v>
          </cell>
          <cell r="H9">
            <v>2.0375999999999999</v>
          </cell>
          <cell r="I9">
            <v>2.0139</v>
          </cell>
          <cell r="J9">
            <v>2.0139</v>
          </cell>
          <cell r="K9">
            <v>2.0139</v>
          </cell>
          <cell r="L9">
            <v>2.0139</v>
          </cell>
          <cell r="M9">
            <v>2.0139</v>
          </cell>
        </row>
        <row r="10">
          <cell r="A10">
            <v>0.8</v>
          </cell>
          <cell r="B10">
            <v>1.8815</v>
          </cell>
          <cell r="C10">
            <v>1.8815</v>
          </cell>
          <cell r="D10">
            <v>1.7828999999999999</v>
          </cell>
          <cell r="E10">
            <v>1.7828999999999999</v>
          </cell>
          <cell r="F10">
            <v>1.7828999999999999</v>
          </cell>
          <cell r="G10">
            <v>1.7828999999999999</v>
          </cell>
          <cell r="H10">
            <v>1.7828999999999999</v>
          </cell>
          <cell r="I10">
            <v>1.7621</v>
          </cell>
          <cell r="J10">
            <v>1.7621</v>
          </cell>
          <cell r="K10">
            <v>1.7621</v>
          </cell>
          <cell r="L10">
            <v>1.7621</v>
          </cell>
          <cell r="M10">
            <v>1.7621</v>
          </cell>
        </row>
        <row r="11">
          <cell r="A11">
            <v>0.9</v>
          </cell>
          <cell r="B11">
            <v>1.6724000000000001</v>
          </cell>
          <cell r="C11">
            <v>1.6724000000000001</v>
          </cell>
          <cell r="D11">
            <v>1.5848</v>
          </cell>
          <cell r="E11">
            <v>1.5848</v>
          </cell>
          <cell r="F11">
            <v>1.5848</v>
          </cell>
          <cell r="G11">
            <v>1.5848</v>
          </cell>
          <cell r="H11">
            <v>1.5848</v>
          </cell>
          <cell r="I11">
            <v>1.5663</v>
          </cell>
          <cell r="J11">
            <v>1.5663</v>
          </cell>
          <cell r="K11">
            <v>1.5663</v>
          </cell>
          <cell r="L11">
            <v>1.5663</v>
          </cell>
          <cell r="M11">
            <v>1.5663</v>
          </cell>
        </row>
        <row r="12">
          <cell r="A12">
            <v>1</v>
          </cell>
          <cell r="B12">
            <v>1.5052000000000001</v>
          </cell>
          <cell r="C12">
            <v>1.5052000000000001</v>
          </cell>
          <cell r="D12">
            <v>1.4262999999999999</v>
          </cell>
          <cell r="E12">
            <v>1.4262999999999999</v>
          </cell>
          <cell r="F12">
            <v>1.4262999999999999</v>
          </cell>
          <cell r="G12">
            <v>1.4262999999999999</v>
          </cell>
          <cell r="H12">
            <v>1.4262999999999999</v>
          </cell>
          <cell r="I12">
            <v>1.4097</v>
          </cell>
          <cell r="J12">
            <v>1.4097</v>
          </cell>
          <cell r="K12">
            <v>1.4097</v>
          </cell>
          <cell r="L12">
            <v>1.4097</v>
          </cell>
          <cell r="M12">
            <v>1.4097</v>
          </cell>
        </row>
        <row r="13">
          <cell r="A13">
            <v>1.1000000000000001</v>
          </cell>
          <cell r="B13">
            <v>1.4509000000000001</v>
          </cell>
          <cell r="C13">
            <v>1.4509000000000001</v>
          </cell>
          <cell r="D13">
            <v>1.3697999999999999</v>
          </cell>
          <cell r="E13">
            <v>1.3697999999999999</v>
          </cell>
          <cell r="F13">
            <v>1.3697999999999999</v>
          </cell>
          <cell r="G13">
            <v>1.3697999999999999</v>
          </cell>
          <cell r="H13">
            <v>1.3697999999999999</v>
          </cell>
          <cell r="I13">
            <v>1.343</v>
          </cell>
          <cell r="J13">
            <v>1.343</v>
          </cell>
          <cell r="K13">
            <v>1.343</v>
          </cell>
          <cell r="L13">
            <v>1.343</v>
          </cell>
          <cell r="M13">
            <v>1.343</v>
          </cell>
        </row>
        <row r="14">
          <cell r="A14">
            <v>1.2</v>
          </cell>
          <cell r="B14">
            <v>1.4035</v>
          </cell>
          <cell r="C14">
            <v>1.4035</v>
          </cell>
          <cell r="D14">
            <v>1.3205</v>
          </cell>
          <cell r="E14">
            <v>1.3205</v>
          </cell>
          <cell r="F14">
            <v>1.3205</v>
          </cell>
          <cell r="G14">
            <v>1.3205</v>
          </cell>
          <cell r="H14">
            <v>1.3205</v>
          </cell>
          <cell r="I14">
            <v>1.2845</v>
          </cell>
          <cell r="J14">
            <v>1.2845</v>
          </cell>
          <cell r="K14">
            <v>1.2845</v>
          </cell>
          <cell r="L14">
            <v>1.2845</v>
          </cell>
          <cell r="M14">
            <v>1.2845</v>
          </cell>
        </row>
        <row r="15">
          <cell r="A15">
            <v>1.3</v>
          </cell>
          <cell r="B15">
            <v>1.3622000000000001</v>
          </cell>
          <cell r="C15">
            <v>1.3622000000000001</v>
          </cell>
          <cell r="D15">
            <v>1.2775000000000001</v>
          </cell>
          <cell r="E15">
            <v>1.2775000000000001</v>
          </cell>
          <cell r="F15">
            <v>1.2775000000000001</v>
          </cell>
          <cell r="G15">
            <v>1.2775000000000001</v>
          </cell>
          <cell r="H15">
            <v>1.2775000000000001</v>
          </cell>
          <cell r="I15">
            <v>1.2332000000000001</v>
          </cell>
          <cell r="J15">
            <v>1.2332000000000001</v>
          </cell>
          <cell r="K15">
            <v>1.2332000000000001</v>
          </cell>
          <cell r="L15">
            <v>1.2332000000000001</v>
          </cell>
          <cell r="M15">
            <v>1.2332000000000001</v>
          </cell>
        </row>
        <row r="16">
          <cell r="A16">
            <v>1.4</v>
          </cell>
          <cell r="B16">
            <v>1.3262</v>
          </cell>
          <cell r="C16">
            <v>1.3262</v>
          </cell>
          <cell r="D16">
            <v>1.2402</v>
          </cell>
          <cell r="E16">
            <v>1.2402</v>
          </cell>
          <cell r="F16">
            <v>1.2402</v>
          </cell>
          <cell r="G16">
            <v>1.2402</v>
          </cell>
          <cell r="H16">
            <v>1.2402</v>
          </cell>
          <cell r="I16">
            <v>1.1881999999999999</v>
          </cell>
          <cell r="J16">
            <v>1.1881999999999999</v>
          </cell>
          <cell r="K16">
            <v>1.1881999999999999</v>
          </cell>
          <cell r="L16">
            <v>1.1881999999999999</v>
          </cell>
          <cell r="M16">
            <v>1.1881999999999999</v>
          </cell>
        </row>
        <row r="17">
          <cell r="A17">
            <v>1.5</v>
          </cell>
          <cell r="B17">
            <v>1.2948</v>
          </cell>
          <cell r="C17">
            <v>1.2948</v>
          </cell>
          <cell r="D17">
            <v>1.2075</v>
          </cell>
          <cell r="E17">
            <v>1.2075</v>
          </cell>
          <cell r="F17">
            <v>1.2075</v>
          </cell>
          <cell r="G17">
            <v>1.2075</v>
          </cell>
          <cell r="H17">
            <v>1.2075</v>
          </cell>
          <cell r="I17">
            <v>1.1486000000000001</v>
          </cell>
          <cell r="J17">
            <v>1.1486000000000001</v>
          </cell>
          <cell r="K17">
            <v>1.1486000000000001</v>
          </cell>
          <cell r="L17">
            <v>1.1486000000000001</v>
          </cell>
          <cell r="M17">
            <v>1.1486000000000001</v>
          </cell>
        </row>
        <row r="18">
          <cell r="A18">
            <v>1.6</v>
          </cell>
          <cell r="B18">
            <v>1.2673000000000001</v>
          </cell>
          <cell r="C18">
            <v>1.2673000000000001</v>
          </cell>
          <cell r="D18">
            <v>1.1789000000000001</v>
          </cell>
          <cell r="E18">
            <v>1.1789000000000001</v>
          </cell>
          <cell r="F18">
            <v>1.1789000000000001</v>
          </cell>
          <cell r="G18">
            <v>1.1789000000000001</v>
          </cell>
          <cell r="H18">
            <v>1.1789000000000001</v>
          </cell>
          <cell r="I18">
            <v>1.1134999999999999</v>
          </cell>
          <cell r="J18">
            <v>1.1134999999999999</v>
          </cell>
          <cell r="K18">
            <v>1.1134999999999999</v>
          </cell>
          <cell r="L18">
            <v>1.1134999999999999</v>
          </cell>
          <cell r="M18">
            <v>1.1134999999999999</v>
          </cell>
        </row>
        <row r="19">
          <cell r="A19">
            <v>1.7</v>
          </cell>
          <cell r="B19">
            <v>1.2428999999999999</v>
          </cell>
          <cell r="C19">
            <v>1.2428999999999999</v>
          </cell>
          <cell r="D19">
            <v>1.1534</v>
          </cell>
          <cell r="E19">
            <v>1.1534</v>
          </cell>
          <cell r="F19">
            <v>1.1534</v>
          </cell>
          <cell r="G19">
            <v>1.1534</v>
          </cell>
          <cell r="H19">
            <v>1.1534</v>
          </cell>
          <cell r="I19">
            <v>1.0820000000000001</v>
          </cell>
          <cell r="J19">
            <v>1.0820000000000001</v>
          </cell>
          <cell r="K19">
            <v>1.0820000000000001</v>
          </cell>
          <cell r="L19">
            <v>1.0820000000000001</v>
          </cell>
          <cell r="M19">
            <v>1.0820000000000001</v>
          </cell>
        </row>
        <row r="20">
          <cell r="A20">
            <v>1.8</v>
          </cell>
          <cell r="B20">
            <v>1.2206999999999999</v>
          </cell>
          <cell r="C20">
            <v>1.2206999999999999</v>
          </cell>
          <cell r="D20">
            <v>1.1304000000000001</v>
          </cell>
          <cell r="E20">
            <v>1.1304000000000001</v>
          </cell>
          <cell r="F20">
            <v>1.1304000000000001</v>
          </cell>
          <cell r="G20">
            <v>1.1304000000000001</v>
          </cell>
          <cell r="H20">
            <v>1.1304000000000001</v>
          </cell>
          <cell r="I20">
            <v>1.0531999999999999</v>
          </cell>
          <cell r="J20">
            <v>1.0531999999999999</v>
          </cell>
          <cell r="K20">
            <v>1.0531999999999999</v>
          </cell>
          <cell r="L20">
            <v>1.0531999999999999</v>
          </cell>
          <cell r="M20">
            <v>1.0531999999999999</v>
          </cell>
        </row>
        <row r="21">
          <cell r="A21">
            <v>1.9</v>
          </cell>
          <cell r="B21">
            <v>1.2</v>
          </cell>
          <cell r="C21">
            <v>1.2</v>
          </cell>
          <cell r="D21">
            <v>1.1089</v>
          </cell>
          <cell r="E21">
            <v>1.1089</v>
          </cell>
          <cell r="F21">
            <v>1.1089</v>
          </cell>
          <cell r="G21">
            <v>1.1089</v>
          </cell>
          <cell r="H21">
            <v>1.1089</v>
          </cell>
          <cell r="I21">
            <v>1.0261</v>
          </cell>
          <cell r="J21">
            <v>1.0261</v>
          </cell>
          <cell r="K21">
            <v>1.0261</v>
          </cell>
          <cell r="L21">
            <v>1.0261</v>
          </cell>
          <cell r="M21">
            <v>1.0261</v>
          </cell>
        </row>
        <row r="22">
          <cell r="A22">
            <v>2</v>
          </cell>
          <cell r="B22">
            <v>1.1800999999999999</v>
          </cell>
          <cell r="C22">
            <v>1.1800999999999999</v>
          </cell>
          <cell r="D22">
            <v>1.0883</v>
          </cell>
          <cell r="E22">
            <v>1.0883</v>
          </cell>
          <cell r="F22">
            <v>1.0883</v>
          </cell>
          <cell r="G22">
            <v>1.0883</v>
          </cell>
          <cell r="H22">
            <v>1.0883</v>
          </cell>
          <cell r="I22">
            <v>1</v>
          </cell>
          <cell r="J22">
            <v>1</v>
          </cell>
          <cell r="K22">
            <v>1</v>
          </cell>
          <cell r="L22">
            <v>1</v>
          </cell>
          <cell r="M22">
            <v>1</v>
          </cell>
        </row>
        <row r="23">
          <cell r="A23">
            <v>2.1</v>
          </cell>
          <cell r="B23">
            <v>1.1616</v>
          </cell>
          <cell r="C23">
            <v>1.1616</v>
          </cell>
          <cell r="D23">
            <v>1.0685</v>
          </cell>
          <cell r="E23">
            <v>1.0685</v>
          </cell>
          <cell r="F23">
            <v>1.0685</v>
          </cell>
          <cell r="G23">
            <v>1.0685</v>
          </cell>
          <cell r="H23">
            <v>1.0685</v>
          </cell>
          <cell r="I23">
            <v>0.97550000000000003</v>
          </cell>
          <cell r="J23">
            <v>0.97550000000000003</v>
          </cell>
          <cell r="K23">
            <v>0.97550000000000003</v>
          </cell>
          <cell r="L23">
            <v>0.97550000000000003</v>
          </cell>
          <cell r="M23">
            <v>0.97550000000000003</v>
          </cell>
        </row>
        <row r="24">
          <cell r="A24">
            <v>2.2000000000000002</v>
          </cell>
          <cell r="B24">
            <v>1.1440999999999999</v>
          </cell>
          <cell r="C24">
            <v>1.1440999999999999</v>
          </cell>
          <cell r="D24">
            <v>1.0497000000000001</v>
          </cell>
          <cell r="E24">
            <v>1.0497000000000001</v>
          </cell>
          <cell r="F24">
            <v>1.0497000000000001</v>
          </cell>
          <cell r="G24">
            <v>1.0497000000000001</v>
          </cell>
          <cell r="H24">
            <v>1.0497000000000001</v>
          </cell>
          <cell r="I24">
            <v>0.95230000000000004</v>
          </cell>
          <cell r="J24">
            <v>0.95230000000000004</v>
          </cell>
          <cell r="K24">
            <v>0.95230000000000004</v>
          </cell>
          <cell r="L24">
            <v>0.95230000000000004</v>
          </cell>
          <cell r="M24">
            <v>0.95230000000000004</v>
          </cell>
        </row>
        <row r="25">
          <cell r="A25">
            <v>2.2999999999999998</v>
          </cell>
          <cell r="B25">
            <v>1.1275999999999999</v>
          </cell>
          <cell r="C25">
            <v>1.1275999999999999</v>
          </cell>
          <cell r="D25">
            <v>1.032</v>
          </cell>
          <cell r="E25">
            <v>1.032</v>
          </cell>
          <cell r="F25">
            <v>1.032</v>
          </cell>
          <cell r="G25">
            <v>1.032</v>
          </cell>
          <cell r="H25">
            <v>1.032</v>
          </cell>
          <cell r="I25">
            <v>0.9304</v>
          </cell>
          <cell r="J25">
            <v>0.9304</v>
          </cell>
          <cell r="K25">
            <v>0.9304</v>
          </cell>
          <cell r="L25">
            <v>0.9304</v>
          </cell>
          <cell r="M25">
            <v>0.9304</v>
          </cell>
        </row>
        <row r="26">
          <cell r="A26">
            <v>2.4</v>
          </cell>
          <cell r="B26">
            <v>1.1121000000000001</v>
          </cell>
          <cell r="C26">
            <v>1.1121000000000001</v>
          </cell>
          <cell r="D26">
            <v>1.0155000000000001</v>
          </cell>
          <cell r="E26">
            <v>1.0155000000000001</v>
          </cell>
          <cell r="F26">
            <v>1.0155000000000001</v>
          </cell>
          <cell r="G26">
            <v>1.0155000000000001</v>
          </cell>
          <cell r="H26">
            <v>1.0155000000000001</v>
          </cell>
          <cell r="I26">
            <v>0.91</v>
          </cell>
          <cell r="J26">
            <v>0.91</v>
          </cell>
          <cell r="K26">
            <v>0.91</v>
          </cell>
          <cell r="L26">
            <v>0.91</v>
          </cell>
          <cell r="M26">
            <v>0.91</v>
          </cell>
        </row>
        <row r="27">
          <cell r="A27">
            <v>2.5</v>
          </cell>
          <cell r="B27">
            <v>1.0975999999999999</v>
          </cell>
          <cell r="C27">
            <v>1.0975999999999999</v>
          </cell>
          <cell r="D27">
            <v>1</v>
          </cell>
          <cell r="E27">
            <v>1</v>
          </cell>
          <cell r="F27">
            <v>1</v>
          </cell>
          <cell r="G27">
            <v>1</v>
          </cell>
          <cell r="H27">
            <v>1</v>
          </cell>
          <cell r="I27">
            <v>0.89080000000000004</v>
          </cell>
          <cell r="J27">
            <v>0.89080000000000004</v>
          </cell>
          <cell r="K27">
            <v>0.89080000000000004</v>
          </cell>
          <cell r="L27">
            <v>0.89080000000000004</v>
          </cell>
          <cell r="M27">
            <v>0.89080000000000004</v>
          </cell>
        </row>
        <row r="28">
          <cell r="A28">
            <v>2.6</v>
          </cell>
          <cell r="B28">
            <v>1.0841000000000001</v>
          </cell>
          <cell r="C28">
            <v>1.0841000000000001</v>
          </cell>
          <cell r="D28">
            <v>0.98619999999999997</v>
          </cell>
          <cell r="E28">
            <v>0.98619999999999997</v>
          </cell>
          <cell r="F28">
            <v>0.98619999999999997</v>
          </cell>
          <cell r="G28">
            <v>0.98619999999999997</v>
          </cell>
          <cell r="H28">
            <v>0.98619999999999997</v>
          </cell>
          <cell r="I28">
            <v>0.873</v>
          </cell>
          <cell r="J28">
            <v>0.873</v>
          </cell>
          <cell r="K28">
            <v>0.873</v>
          </cell>
          <cell r="L28">
            <v>0.873</v>
          </cell>
          <cell r="M28">
            <v>0.873</v>
          </cell>
        </row>
        <row r="29">
          <cell r="A29">
            <v>2.7</v>
          </cell>
          <cell r="B29">
            <v>1.0716000000000001</v>
          </cell>
          <cell r="C29">
            <v>1.0716000000000001</v>
          </cell>
          <cell r="D29">
            <v>0.97330000000000005</v>
          </cell>
          <cell r="E29">
            <v>0.97330000000000005</v>
          </cell>
          <cell r="F29">
            <v>0.97330000000000005</v>
          </cell>
          <cell r="G29">
            <v>0.97330000000000005</v>
          </cell>
          <cell r="H29">
            <v>0.97330000000000005</v>
          </cell>
          <cell r="I29">
            <v>0.85670000000000002</v>
          </cell>
          <cell r="J29">
            <v>0.85670000000000002</v>
          </cell>
          <cell r="K29">
            <v>0.85670000000000002</v>
          </cell>
          <cell r="L29">
            <v>0.85670000000000002</v>
          </cell>
          <cell r="M29">
            <v>0.85670000000000002</v>
          </cell>
        </row>
        <row r="30">
          <cell r="A30">
            <v>2.8</v>
          </cell>
          <cell r="B30">
            <v>1.0602</v>
          </cell>
          <cell r="C30">
            <v>1.0602</v>
          </cell>
          <cell r="D30">
            <v>0.96160000000000001</v>
          </cell>
          <cell r="E30">
            <v>0.96160000000000001</v>
          </cell>
          <cell r="F30">
            <v>0.96160000000000001</v>
          </cell>
          <cell r="G30">
            <v>0.96160000000000001</v>
          </cell>
          <cell r="H30">
            <v>0.96160000000000001</v>
          </cell>
          <cell r="I30">
            <v>0.8417</v>
          </cell>
          <cell r="J30">
            <v>0.8417</v>
          </cell>
          <cell r="K30">
            <v>0.8417</v>
          </cell>
          <cell r="L30">
            <v>0.8417</v>
          </cell>
          <cell r="M30">
            <v>0.8417</v>
          </cell>
        </row>
        <row r="31">
          <cell r="A31">
            <v>2.9</v>
          </cell>
          <cell r="B31">
            <v>1.0497000000000001</v>
          </cell>
          <cell r="C31">
            <v>1.0497000000000001</v>
          </cell>
          <cell r="D31">
            <v>0.95089999999999997</v>
          </cell>
          <cell r="E31">
            <v>0.95089999999999997</v>
          </cell>
          <cell r="F31">
            <v>0.95089999999999997</v>
          </cell>
          <cell r="G31">
            <v>0.95089999999999997</v>
          </cell>
          <cell r="H31">
            <v>0.95089999999999997</v>
          </cell>
          <cell r="I31">
            <v>0.82809999999999995</v>
          </cell>
          <cell r="J31">
            <v>0.82809999999999995</v>
          </cell>
          <cell r="K31">
            <v>0.82809999999999995</v>
          </cell>
          <cell r="L31">
            <v>0.82809999999999995</v>
          </cell>
          <cell r="M31">
            <v>0.82809999999999995</v>
          </cell>
        </row>
        <row r="32">
          <cell r="A32">
            <v>3</v>
          </cell>
          <cell r="B32">
            <v>1.0401</v>
          </cell>
          <cell r="C32">
            <v>1.0401</v>
          </cell>
          <cell r="D32">
            <v>0.94089999999999996</v>
          </cell>
          <cell r="E32">
            <v>0.94089999999999996</v>
          </cell>
          <cell r="F32">
            <v>0.94089999999999996</v>
          </cell>
          <cell r="G32">
            <v>0.94089999999999996</v>
          </cell>
          <cell r="H32">
            <v>0.94089999999999996</v>
          </cell>
          <cell r="I32">
            <v>0.81579999999999997</v>
          </cell>
          <cell r="J32">
            <v>0.81579999999999997</v>
          </cell>
          <cell r="K32">
            <v>0.81579999999999997</v>
          </cell>
          <cell r="L32">
            <v>0.81579999999999997</v>
          </cell>
          <cell r="M32">
            <v>0.81579999999999997</v>
          </cell>
        </row>
        <row r="33">
          <cell r="A33">
            <v>3.1</v>
          </cell>
          <cell r="B33">
            <v>1.0314000000000001</v>
          </cell>
          <cell r="C33">
            <v>1.0314000000000001</v>
          </cell>
          <cell r="D33">
            <v>0.93169999999999997</v>
          </cell>
          <cell r="E33">
            <v>0.93169999999999997</v>
          </cell>
          <cell r="F33">
            <v>0.93169999999999997</v>
          </cell>
          <cell r="G33">
            <v>0.93169999999999997</v>
          </cell>
          <cell r="H33">
            <v>0.93169999999999997</v>
          </cell>
          <cell r="I33">
            <v>0.80410000000000004</v>
          </cell>
          <cell r="J33">
            <v>0.80410000000000004</v>
          </cell>
          <cell r="K33">
            <v>0.80410000000000004</v>
          </cell>
          <cell r="L33">
            <v>0.80410000000000004</v>
          </cell>
          <cell r="M33">
            <v>0.80410000000000004</v>
          </cell>
        </row>
        <row r="34">
          <cell r="A34">
            <v>3.2</v>
          </cell>
          <cell r="B34">
            <v>1.0229999999999999</v>
          </cell>
          <cell r="C34">
            <v>1.0229999999999999</v>
          </cell>
          <cell r="D34">
            <v>0.92279999999999995</v>
          </cell>
          <cell r="E34">
            <v>0.92279999999999995</v>
          </cell>
          <cell r="F34">
            <v>0.92279999999999995</v>
          </cell>
          <cell r="G34">
            <v>0.92279999999999995</v>
          </cell>
          <cell r="H34">
            <v>0.92279999999999995</v>
          </cell>
          <cell r="I34">
            <v>0.79300000000000004</v>
          </cell>
          <cell r="J34">
            <v>0.79300000000000004</v>
          </cell>
          <cell r="K34">
            <v>0.79300000000000004</v>
          </cell>
          <cell r="L34">
            <v>0.79300000000000004</v>
          </cell>
          <cell r="M34">
            <v>0.79300000000000004</v>
          </cell>
        </row>
        <row r="35">
          <cell r="A35">
            <v>3.3</v>
          </cell>
          <cell r="B35">
            <v>1.0149999999999999</v>
          </cell>
          <cell r="C35">
            <v>1.0149999999999999</v>
          </cell>
          <cell r="D35">
            <v>0.91439999999999999</v>
          </cell>
          <cell r="E35">
            <v>0.91439999999999999</v>
          </cell>
          <cell r="F35">
            <v>0.91439999999999999</v>
          </cell>
          <cell r="G35">
            <v>0.91439999999999999</v>
          </cell>
          <cell r="H35">
            <v>0.91439999999999999</v>
          </cell>
          <cell r="I35">
            <v>0.78220000000000001</v>
          </cell>
          <cell r="J35">
            <v>0.78220000000000001</v>
          </cell>
          <cell r="K35">
            <v>0.78220000000000001</v>
          </cell>
          <cell r="L35">
            <v>0.78220000000000001</v>
          </cell>
          <cell r="M35">
            <v>0.78220000000000001</v>
          </cell>
        </row>
        <row r="36">
          <cell r="A36">
            <v>3.4</v>
          </cell>
          <cell r="B36">
            <v>1.0073000000000001</v>
          </cell>
          <cell r="C36">
            <v>1.0073000000000001</v>
          </cell>
          <cell r="D36">
            <v>0.90629999999999999</v>
          </cell>
          <cell r="E36">
            <v>0.90629999999999999</v>
          </cell>
          <cell r="F36">
            <v>0.90629999999999999</v>
          </cell>
          <cell r="G36">
            <v>0.90629999999999999</v>
          </cell>
          <cell r="H36">
            <v>0.90629999999999999</v>
          </cell>
          <cell r="I36">
            <v>0.77210000000000001</v>
          </cell>
          <cell r="J36">
            <v>0.77210000000000001</v>
          </cell>
          <cell r="K36">
            <v>0.77210000000000001</v>
          </cell>
          <cell r="L36">
            <v>0.77210000000000001</v>
          </cell>
          <cell r="M36">
            <v>0.77210000000000001</v>
          </cell>
        </row>
        <row r="37">
          <cell r="A37">
            <v>3.5</v>
          </cell>
          <cell r="B37">
            <v>1</v>
          </cell>
          <cell r="C37">
            <v>1</v>
          </cell>
          <cell r="D37">
            <v>0.89870000000000005</v>
          </cell>
          <cell r="E37">
            <v>0.89870000000000005</v>
          </cell>
          <cell r="F37">
            <v>0.89870000000000005</v>
          </cell>
          <cell r="G37">
            <v>0.89870000000000005</v>
          </cell>
          <cell r="H37">
            <v>0.89870000000000005</v>
          </cell>
          <cell r="I37">
            <v>0.76239999999999997</v>
          </cell>
          <cell r="J37">
            <v>0.76239999999999997</v>
          </cell>
          <cell r="K37">
            <v>0.76239999999999997</v>
          </cell>
          <cell r="L37">
            <v>0.76239999999999997</v>
          </cell>
          <cell r="M37">
            <v>0.76239999999999997</v>
          </cell>
        </row>
        <row r="38">
          <cell r="A38">
            <v>3.6</v>
          </cell>
          <cell r="B38">
            <v>0.99329999999999996</v>
          </cell>
          <cell r="C38">
            <v>0.99329999999999996</v>
          </cell>
          <cell r="D38">
            <v>0.89139999999999997</v>
          </cell>
          <cell r="E38">
            <v>0.89139999999999997</v>
          </cell>
          <cell r="F38">
            <v>0.89139999999999997</v>
          </cell>
          <cell r="G38">
            <v>0.89139999999999997</v>
          </cell>
          <cell r="H38">
            <v>0.89139999999999997</v>
          </cell>
          <cell r="I38">
            <v>0.75319999999999998</v>
          </cell>
          <cell r="J38">
            <v>0.75319999999999998</v>
          </cell>
          <cell r="K38">
            <v>0.75319999999999998</v>
          </cell>
          <cell r="L38">
            <v>0.75319999999999998</v>
          </cell>
          <cell r="M38">
            <v>0.75319999999999998</v>
          </cell>
        </row>
        <row r="39">
          <cell r="A39">
            <v>3.7</v>
          </cell>
          <cell r="B39">
            <v>0.9869</v>
          </cell>
          <cell r="C39">
            <v>0.9869</v>
          </cell>
          <cell r="D39">
            <v>0.88449999999999995</v>
          </cell>
          <cell r="E39">
            <v>0.88449999999999995</v>
          </cell>
          <cell r="F39">
            <v>0.88449999999999995</v>
          </cell>
          <cell r="G39">
            <v>0.88449999999999995</v>
          </cell>
          <cell r="H39">
            <v>0.88449999999999995</v>
          </cell>
          <cell r="I39">
            <v>0.74460000000000004</v>
          </cell>
          <cell r="J39">
            <v>0.74460000000000004</v>
          </cell>
          <cell r="K39">
            <v>0.74460000000000004</v>
          </cell>
          <cell r="L39">
            <v>0.74460000000000004</v>
          </cell>
          <cell r="M39">
            <v>0.74460000000000004</v>
          </cell>
        </row>
        <row r="40">
          <cell r="A40">
            <v>3.8</v>
          </cell>
          <cell r="B40">
            <v>0.98080000000000001</v>
          </cell>
          <cell r="C40">
            <v>0.98080000000000001</v>
          </cell>
          <cell r="D40">
            <v>0.87809999999999999</v>
          </cell>
          <cell r="E40">
            <v>0.87809999999999999</v>
          </cell>
          <cell r="F40">
            <v>0.87809999999999999</v>
          </cell>
          <cell r="G40">
            <v>0.87809999999999999</v>
          </cell>
          <cell r="H40">
            <v>0.87809999999999999</v>
          </cell>
          <cell r="I40">
            <v>0.73640000000000005</v>
          </cell>
          <cell r="J40">
            <v>0.73640000000000005</v>
          </cell>
          <cell r="K40">
            <v>0.73640000000000005</v>
          </cell>
          <cell r="L40">
            <v>0.73640000000000005</v>
          </cell>
          <cell r="M40">
            <v>0.73640000000000005</v>
          </cell>
        </row>
        <row r="41">
          <cell r="A41">
            <v>3.9</v>
          </cell>
          <cell r="B41">
            <v>0.97509999999999997</v>
          </cell>
          <cell r="C41">
            <v>0.97509999999999997</v>
          </cell>
          <cell r="D41">
            <v>0.87209999999999999</v>
          </cell>
          <cell r="E41">
            <v>0.87209999999999999</v>
          </cell>
          <cell r="F41">
            <v>0.87209999999999999</v>
          </cell>
          <cell r="G41">
            <v>0.87209999999999999</v>
          </cell>
          <cell r="H41">
            <v>0.87209999999999999</v>
          </cell>
          <cell r="I41">
            <v>0.7288</v>
          </cell>
          <cell r="J41">
            <v>0.7288</v>
          </cell>
          <cell r="K41">
            <v>0.7288</v>
          </cell>
          <cell r="L41">
            <v>0.7288</v>
          </cell>
          <cell r="M41">
            <v>0.7288</v>
          </cell>
        </row>
        <row r="42">
          <cell r="A42">
            <v>4</v>
          </cell>
          <cell r="B42">
            <v>0.96989999999999998</v>
          </cell>
          <cell r="C42">
            <v>0.96989999999999998</v>
          </cell>
          <cell r="D42">
            <v>0.86650000000000005</v>
          </cell>
          <cell r="E42">
            <v>0.86650000000000005</v>
          </cell>
          <cell r="F42">
            <v>0.86650000000000005</v>
          </cell>
          <cell r="G42">
            <v>0.86650000000000005</v>
          </cell>
          <cell r="H42">
            <v>0.86650000000000005</v>
          </cell>
          <cell r="I42">
            <v>0.7218</v>
          </cell>
          <cell r="J42">
            <v>0.7218</v>
          </cell>
          <cell r="K42">
            <v>0.7218</v>
          </cell>
          <cell r="L42">
            <v>0.7218</v>
          </cell>
          <cell r="M42">
            <v>0.7218</v>
          </cell>
        </row>
        <row r="43">
          <cell r="A43">
            <v>4.0999999999999996</v>
          </cell>
          <cell r="B43">
            <v>0.96479999999999999</v>
          </cell>
          <cell r="C43">
            <v>0.96479999999999999</v>
          </cell>
          <cell r="D43">
            <v>0.86109999999999998</v>
          </cell>
          <cell r="E43">
            <v>0.86109999999999998</v>
          </cell>
          <cell r="F43">
            <v>0.86109999999999998</v>
          </cell>
          <cell r="G43">
            <v>0.86109999999999998</v>
          </cell>
          <cell r="H43">
            <v>0.86109999999999998</v>
          </cell>
          <cell r="I43">
            <v>0.71499999999999997</v>
          </cell>
          <cell r="J43">
            <v>0.71499999999999997</v>
          </cell>
          <cell r="K43">
            <v>0.71499999999999997</v>
          </cell>
          <cell r="L43">
            <v>0.71499999999999997</v>
          </cell>
          <cell r="M43">
            <v>0.71499999999999997</v>
          </cell>
        </row>
        <row r="44">
          <cell r="A44">
            <v>4.2</v>
          </cell>
          <cell r="B44">
            <v>0.96</v>
          </cell>
          <cell r="C44">
            <v>0.96</v>
          </cell>
          <cell r="D44">
            <v>0.85599999999999998</v>
          </cell>
          <cell r="E44">
            <v>0.85599999999999998</v>
          </cell>
          <cell r="F44">
            <v>0.85599999999999998</v>
          </cell>
          <cell r="G44">
            <v>0.85599999999999998</v>
          </cell>
          <cell r="H44">
            <v>0.85599999999999998</v>
          </cell>
          <cell r="I44">
            <v>0.70840000000000003</v>
          </cell>
          <cell r="J44">
            <v>0.70840000000000003</v>
          </cell>
          <cell r="K44">
            <v>0.70840000000000003</v>
          </cell>
          <cell r="L44">
            <v>0.70840000000000003</v>
          </cell>
          <cell r="M44">
            <v>0.70840000000000003</v>
          </cell>
        </row>
        <row r="45">
          <cell r="A45">
            <v>4.3</v>
          </cell>
          <cell r="B45">
            <v>0.95530000000000004</v>
          </cell>
          <cell r="C45">
            <v>0.95530000000000004</v>
          </cell>
          <cell r="D45">
            <v>0.85099999999999998</v>
          </cell>
          <cell r="E45">
            <v>0.85099999999999998</v>
          </cell>
          <cell r="F45">
            <v>0.85099999999999998</v>
          </cell>
          <cell r="G45">
            <v>0.85099999999999998</v>
          </cell>
          <cell r="H45">
            <v>0.85099999999999998</v>
          </cell>
          <cell r="I45">
            <v>0.70199999999999996</v>
          </cell>
          <cell r="J45">
            <v>0.70199999999999996</v>
          </cell>
          <cell r="K45">
            <v>0.70199999999999996</v>
          </cell>
          <cell r="L45">
            <v>0.70199999999999996</v>
          </cell>
          <cell r="M45">
            <v>0.70199999999999996</v>
          </cell>
        </row>
        <row r="46">
          <cell r="A46">
            <v>4.4000000000000004</v>
          </cell>
          <cell r="B46">
            <v>0.95079999999999998</v>
          </cell>
          <cell r="C46">
            <v>0.95079999999999998</v>
          </cell>
          <cell r="D46">
            <v>0.84619999999999995</v>
          </cell>
          <cell r="E46">
            <v>0.84619999999999995</v>
          </cell>
          <cell r="F46">
            <v>0.84619999999999995</v>
          </cell>
          <cell r="G46">
            <v>0.84619999999999995</v>
          </cell>
          <cell r="H46">
            <v>0.84619999999999995</v>
          </cell>
          <cell r="I46">
            <v>0.69579999999999997</v>
          </cell>
          <cell r="J46">
            <v>0.69579999999999997</v>
          </cell>
          <cell r="K46">
            <v>0.69579999999999997</v>
          </cell>
          <cell r="L46">
            <v>0.69579999999999997</v>
          </cell>
          <cell r="M46">
            <v>0.69579999999999997</v>
          </cell>
        </row>
        <row r="47">
          <cell r="A47">
            <v>4.5</v>
          </cell>
          <cell r="B47">
            <v>0.94640000000000002</v>
          </cell>
          <cell r="C47">
            <v>0.94640000000000002</v>
          </cell>
          <cell r="D47">
            <v>0.84150000000000003</v>
          </cell>
          <cell r="E47">
            <v>0.84150000000000003</v>
          </cell>
          <cell r="F47">
            <v>0.84150000000000003</v>
          </cell>
          <cell r="G47">
            <v>0.84150000000000003</v>
          </cell>
          <cell r="H47">
            <v>0.84150000000000003</v>
          </cell>
          <cell r="I47">
            <v>0.68989999999999996</v>
          </cell>
          <cell r="J47">
            <v>0.68989999999999996</v>
          </cell>
          <cell r="K47">
            <v>0.68989999999999996</v>
          </cell>
          <cell r="L47">
            <v>0.68989999999999996</v>
          </cell>
          <cell r="M47">
            <v>0.68989999999999996</v>
          </cell>
        </row>
        <row r="48">
          <cell r="A48">
            <v>4.5999999999999996</v>
          </cell>
          <cell r="B48">
            <v>0.94230000000000003</v>
          </cell>
          <cell r="C48">
            <v>0.94230000000000003</v>
          </cell>
          <cell r="D48">
            <v>0.83709999999999996</v>
          </cell>
          <cell r="E48">
            <v>0.83709999999999996</v>
          </cell>
          <cell r="F48">
            <v>0.83709999999999996</v>
          </cell>
          <cell r="G48">
            <v>0.83709999999999996</v>
          </cell>
          <cell r="H48">
            <v>0.83709999999999996</v>
          </cell>
          <cell r="I48">
            <v>0.68430000000000002</v>
          </cell>
          <cell r="J48">
            <v>0.68430000000000002</v>
          </cell>
          <cell r="K48">
            <v>0.68430000000000002</v>
          </cell>
          <cell r="L48">
            <v>0.68430000000000002</v>
          </cell>
          <cell r="M48">
            <v>0.68430000000000002</v>
          </cell>
        </row>
        <row r="49">
          <cell r="A49">
            <v>4.7</v>
          </cell>
          <cell r="B49">
            <v>0.93830000000000002</v>
          </cell>
          <cell r="C49">
            <v>0.93830000000000002</v>
          </cell>
          <cell r="D49">
            <v>0.83279999999999998</v>
          </cell>
          <cell r="E49">
            <v>0.83279999999999998</v>
          </cell>
          <cell r="F49">
            <v>0.83279999999999998</v>
          </cell>
          <cell r="G49">
            <v>0.83279999999999998</v>
          </cell>
          <cell r="H49">
            <v>0.83279999999999998</v>
          </cell>
          <cell r="I49">
            <v>0.67879999999999996</v>
          </cell>
          <cell r="J49">
            <v>0.67879999999999996</v>
          </cell>
          <cell r="K49">
            <v>0.67879999999999996</v>
          </cell>
          <cell r="L49">
            <v>0.67879999999999996</v>
          </cell>
          <cell r="M49">
            <v>0.67879999999999996</v>
          </cell>
        </row>
        <row r="50">
          <cell r="A50">
            <v>4.8</v>
          </cell>
          <cell r="B50">
            <v>0.9345</v>
          </cell>
          <cell r="C50">
            <v>0.9345</v>
          </cell>
          <cell r="D50">
            <v>0.82869999999999999</v>
          </cell>
          <cell r="E50">
            <v>0.82869999999999999</v>
          </cell>
          <cell r="F50">
            <v>0.82869999999999999</v>
          </cell>
          <cell r="G50">
            <v>0.82869999999999999</v>
          </cell>
          <cell r="H50">
            <v>0.82869999999999999</v>
          </cell>
          <cell r="I50">
            <v>0.67359999999999998</v>
          </cell>
          <cell r="J50">
            <v>0.67359999999999998</v>
          </cell>
          <cell r="K50">
            <v>0.67359999999999998</v>
          </cell>
          <cell r="L50">
            <v>0.67359999999999998</v>
          </cell>
          <cell r="M50">
            <v>0.67359999999999998</v>
          </cell>
        </row>
        <row r="51">
          <cell r="A51">
            <v>4.9000000000000004</v>
          </cell>
          <cell r="B51">
            <v>0.93079999999999996</v>
          </cell>
          <cell r="C51">
            <v>0.93079999999999996</v>
          </cell>
          <cell r="D51">
            <v>0.82479999999999998</v>
          </cell>
          <cell r="E51">
            <v>0.82479999999999998</v>
          </cell>
          <cell r="F51">
            <v>0.82479999999999998</v>
          </cell>
          <cell r="G51">
            <v>0.82479999999999998</v>
          </cell>
          <cell r="H51">
            <v>0.82479999999999998</v>
          </cell>
          <cell r="I51">
            <v>0.66849999999999998</v>
          </cell>
          <cell r="J51">
            <v>0.66849999999999998</v>
          </cell>
          <cell r="K51">
            <v>0.66849999999999998</v>
          </cell>
          <cell r="L51">
            <v>0.66849999999999998</v>
          </cell>
          <cell r="M51">
            <v>0.66849999999999998</v>
          </cell>
        </row>
        <row r="52">
          <cell r="A52">
            <v>5</v>
          </cell>
          <cell r="B52">
            <v>0.9274</v>
          </cell>
          <cell r="C52">
            <v>0.9274</v>
          </cell>
          <cell r="D52">
            <v>0.82110000000000005</v>
          </cell>
          <cell r="E52">
            <v>0.82110000000000005</v>
          </cell>
          <cell r="F52">
            <v>0.82110000000000005</v>
          </cell>
          <cell r="G52">
            <v>0.82110000000000005</v>
          </cell>
          <cell r="H52">
            <v>0.82110000000000005</v>
          </cell>
          <cell r="I52">
            <v>0.66369999999999996</v>
          </cell>
          <cell r="J52">
            <v>0.66369999999999996</v>
          </cell>
          <cell r="K52">
            <v>0.66369999999999996</v>
          </cell>
          <cell r="L52">
            <v>0.66369999999999996</v>
          </cell>
          <cell r="M52">
            <v>0.66369999999999996</v>
          </cell>
        </row>
        <row r="53">
          <cell r="A53">
            <v>5.0999999999999996</v>
          </cell>
          <cell r="B53">
            <v>0.92410000000000003</v>
          </cell>
          <cell r="C53">
            <v>0.92410000000000003</v>
          </cell>
          <cell r="D53">
            <v>0.8175</v>
          </cell>
          <cell r="E53">
            <v>0.8175</v>
          </cell>
          <cell r="F53">
            <v>0.8175</v>
          </cell>
          <cell r="G53">
            <v>0.8175</v>
          </cell>
          <cell r="H53">
            <v>0.8175</v>
          </cell>
          <cell r="I53">
            <v>0.65900000000000003</v>
          </cell>
          <cell r="J53">
            <v>0.65900000000000003</v>
          </cell>
          <cell r="K53">
            <v>0.65900000000000003</v>
          </cell>
          <cell r="L53">
            <v>0.65900000000000003</v>
          </cell>
          <cell r="M53">
            <v>0.65900000000000003</v>
          </cell>
        </row>
        <row r="54">
          <cell r="A54">
            <v>5.2</v>
          </cell>
          <cell r="B54">
            <v>0.92090000000000005</v>
          </cell>
          <cell r="C54">
            <v>0.92090000000000005</v>
          </cell>
          <cell r="D54">
            <v>0.81399999999999995</v>
          </cell>
          <cell r="E54">
            <v>0.81399999999999995</v>
          </cell>
          <cell r="F54">
            <v>0.81399999999999995</v>
          </cell>
          <cell r="G54">
            <v>0.81399999999999995</v>
          </cell>
          <cell r="H54">
            <v>0.81399999999999995</v>
          </cell>
          <cell r="I54">
            <v>0.65449999999999997</v>
          </cell>
          <cell r="J54">
            <v>0.65449999999999997</v>
          </cell>
          <cell r="K54">
            <v>0.65449999999999997</v>
          </cell>
          <cell r="L54">
            <v>0.65449999999999997</v>
          </cell>
          <cell r="M54">
            <v>0.65449999999999997</v>
          </cell>
        </row>
        <row r="55">
          <cell r="A55">
            <v>5.3</v>
          </cell>
          <cell r="B55">
            <v>0.91790000000000005</v>
          </cell>
          <cell r="C55">
            <v>0.91790000000000005</v>
          </cell>
          <cell r="D55">
            <v>0.81059999999999999</v>
          </cell>
          <cell r="E55">
            <v>0.81059999999999999</v>
          </cell>
          <cell r="F55">
            <v>0.81059999999999999</v>
          </cell>
          <cell r="G55">
            <v>0.81059999999999999</v>
          </cell>
          <cell r="H55">
            <v>0.81059999999999999</v>
          </cell>
          <cell r="I55">
            <v>0.6502</v>
          </cell>
          <cell r="J55">
            <v>0.6502</v>
          </cell>
          <cell r="K55">
            <v>0.6502</v>
          </cell>
          <cell r="L55">
            <v>0.6502</v>
          </cell>
          <cell r="M55">
            <v>0.6502</v>
          </cell>
        </row>
        <row r="56">
          <cell r="A56">
            <v>5.4</v>
          </cell>
          <cell r="B56">
            <v>0.91490000000000005</v>
          </cell>
          <cell r="C56">
            <v>0.91490000000000005</v>
          </cell>
          <cell r="D56">
            <v>0.80740000000000001</v>
          </cell>
          <cell r="E56">
            <v>0.80740000000000001</v>
          </cell>
          <cell r="F56">
            <v>0.80740000000000001</v>
          </cell>
          <cell r="G56">
            <v>0.80740000000000001</v>
          </cell>
          <cell r="H56">
            <v>0.80740000000000001</v>
          </cell>
          <cell r="I56">
            <v>0.64590000000000003</v>
          </cell>
          <cell r="J56">
            <v>0.64590000000000003</v>
          </cell>
          <cell r="K56">
            <v>0.64590000000000003</v>
          </cell>
          <cell r="L56">
            <v>0.64590000000000003</v>
          </cell>
          <cell r="M56">
            <v>0.64590000000000003</v>
          </cell>
        </row>
        <row r="57">
          <cell r="A57">
            <v>5.5</v>
          </cell>
          <cell r="B57">
            <v>0.91200000000000003</v>
          </cell>
          <cell r="C57">
            <v>0.91200000000000003</v>
          </cell>
          <cell r="D57">
            <v>0.80420000000000003</v>
          </cell>
          <cell r="E57">
            <v>0.80420000000000003</v>
          </cell>
          <cell r="F57">
            <v>0.80420000000000003</v>
          </cell>
          <cell r="G57">
            <v>0.80420000000000003</v>
          </cell>
          <cell r="H57">
            <v>0.80420000000000003</v>
          </cell>
          <cell r="I57">
            <v>0.64180000000000004</v>
          </cell>
          <cell r="J57">
            <v>0.64180000000000004</v>
          </cell>
          <cell r="K57">
            <v>0.64180000000000004</v>
          </cell>
          <cell r="L57">
            <v>0.64180000000000004</v>
          </cell>
          <cell r="M57">
            <v>0.64180000000000004</v>
          </cell>
        </row>
        <row r="58">
          <cell r="A58">
            <v>5.6</v>
          </cell>
          <cell r="B58">
            <v>0.90910000000000002</v>
          </cell>
          <cell r="C58">
            <v>0.90910000000000002</v>
          </cell>
          <cell r="D58">
            <v>0.80120000000000002</v>
          </cell>
          <cell r="E58">
            <v>0.80120000000000002</v>
          </cell>
          <cell r="F58">
            <v>0.80120000000000002</v>
          </cell>
          <cell r="G58">
            <v>0.80120000000000002</v>
          </cell>
          <cell r="H58">
            <v>0.80120000000000002</v>
          </cell>
          <cell r="I58">
            <v>0.63790000000000002</v>
          </cell>
          <cell r="J58">
            <v>0.63790000000000002</v>
          </cell>
          <cell r="K58">
            <v>0.63790000000000002</v>
          </cell>
          <cell r="L58">
            <v>0.63790000000000002</v>
          </cell>
          <cell r="M58">
            <v>0.63790000000000002</v>
          </cell>
        </row>
        <row r="59">
          <cell r="A59">
            <v>5.7</v>
          </cell>
          <cell r="B59">
            <v>0.90639999999999998</v>
          </cell>
          <cell r="C59">
            <v>0.90639999999999998</v>
          </cell>
          <cell r="D59">
            <v>0.79820000000000002</v>
          </cell>
          <cell r="E59">
            <v>0.79820000000000002</v>
          </cell>
          <cell r="F59">
            <v>0.79820000000000002</v>
          </cell>
          <cell r="G59">
            <v>0.79820000000000002</v>
          </cell>
          <cell r="H59">
            <v>0.79820000000000002</v>
          </cell>
          <cell r="I59">
            <v>0.6341</v>
          </cell>
          <cell r="J59">
            <v>0.6341</v>
          </cell>
          <cell r="K59">
            <v>0.6341</v>
          </cell>
          <cell r="L59">
            <v>0.6341</v>
          </cell>
          <cell r="M59">
            <v>0.6341</v>
          </cell>
        </row>
        <row r="60">
          <cell r="A60">
            <v>5.8</v>
          </cell>
          <cell r="B60">
            <v>0.90380000000000005</v>
          </cell>
          <cell r="C60">
            <v>0.90380000000000005</v>
          </cell>
          <cell r="D60">
            <v>0.7954</v>
          </cell>
          <cell r="E60">
            <v>0.7954</v>
          </cell>
          <cell r="F60">
            <v>0.7954</v>
          </cell>
          <cell r="G60">
            <v>0.7954</v>
          </cell>
          <cell r="H60">
            <v>0.7954</v>
          </cell>
          <cell r="I60">
            <v>0.63039999999999996</v>
          </cell>
          <cell r="J60">
            <v>0.63039999999999996</v>
          </cell>
          <cell r="K60">
            <v>0.63039999999999996</v>
          </cell>
          <cell r="L60">
            <v>0.63039999999999996</v>
          </cell>
          <cell r="M60">
            <v>0.63039999999999996</v>
          </cell>
        </row>
        <row r="61">
          <cell r="A61">
            <v>5.9</v>
          </cell>
          <cell r="B61">
            <v>0.90129999999999999</v>
          </cell>
          <cell r="C61">
            <v>0.90129999999999999</v>
          </cell>
          <cell r="D61">
            <v>0.79269999999999996</v>
          </cell>
          <cell r="E61">
            <v>0.79269999999999996</v>
          </cell>
          <cell r="F61">
            <v>0.79269999999999996</v>
          </cell>
          <cell r="G61">
            <v>0.79269999999999996</v>
          </cell>
          <cell r="H61">
            <v>0.79269999999999996</v>
          </cell>
          <cell r="I61">
            <v>0.62690000000000001</v>
          </cell>
          <cell r="J61">
            <v>0.62690000000000001</v>
          </cell>
          <cell r="K61">
            <v>0.62690000000000001</v>
          </cell>
          <cell r="L61">
            <v>0.62690000000000001</v>
          </cell>
          <cell r="M61">
            <v>0.62690000000000001</v>
          </cell>
        </row>
        <row r="62">
          <cell r="A62">
            <v>6</v>
          </cell>
          <cell r="B62">
            <v>0.89890000000000003</v>
          </cell>
          <cell r="C62">
            <v>0.89890000000000003</v>
          </cell>
          <cell r="D62">
            <v>0.79020000000000001</v>
          </cell>
          <cell r="E62">
            <v>0.79020000000000001</v>
          </cell>
          <cell r="F62">
            <v>0.79020000000000001</v>
          </cell>
          <cell r="G62">
            <v>0.79020000000000001</v>
          </cell>
          <cell r="H62">
            <v>0.79020000000000001</v>
          </cell>
          <cell r="I62">
            <v>0.62350000000000005</v>
          </cell>
          <cell r="J62">
            <v>0.62350000000000005</v>
          </cell>
          <cell r="K62">
            <v>0.62350000000000005</v>
          </cell>
          <cell r="L62">
            <v>0.62350000000000005</v>
          </cell>
          <cell r="M62">
            <v>0.62350000000000005</v>
          </cell>
        </row>
        <row r="63">
          <cell r="A63">
            <v>6.1</v>
          </cell>
          <cell r="B63">
            <v>0.89649999999999996</v>
          </cell>
          <cell r="C63">
            <v>0.89649999999999996</v>
          </cell>
          <cell r="D63">
            <v>0.78769999999999996</v>
          </cell>
          <cell r="E63">
            <v>0.78769999999999996</v>
          </cell>
          <cell r="F63">
            <v>0.78769999999999996</v>
          </cell>
          <cell r="G63">
            <v>0.78769999999999996</v>
          </cell>
          <cell r="H63">
            <v>0.78769999999999996</v>
          </cell>
          <cell r="I63">
            <v>0.62029999999999996</v>
          </cell>
          <cell r="J63">
            <v>0.62029999999999996</v>
          </cell>
          <cell r="K63">
            <v>0.62029999999999996</v>
          </cell>
          <cell r="L63">
            <v>0.62029999999999996</v>
          </cell>
          <cell r="M63">
            <v>0.62029999999999996</v>
          </cell>
        </row>
        <row r="64">
          <cell r="A64">
            <v>6.2</v>
          </cell>
          <cell r="B64">
            <v>0.89429999999999998</v>
          </cell>
          <cell r="C64">
            <v>0.89429999999999998</v>
          </cell>
          <cell r="D64">
            <v>0.78520000000000001</v>
          </cell>
          <cell r="E64">
            <v>0.78520000000000001</v>
          </cell>
          <cell r="F64">
            <v>0.78520000000000001</v>
          </cell>
          <cell r="G64">
            <v>0.78520000000000001</v>
          </cell>
          <cell r="H64">
            <v>0.78520000000000001</v>
          </cell>
          <cell r="I64">
            <v>0.61719999999999997</v>
          </cell>
          <cell r="J64">
            <v>0.61719999999999997</v>
          </cell>
          <cell r="K64">
            <v>0.61719999999999997</v>
          </cell>
          <cell r="L64">
            <v>0.61719999999999997</v>
          </cell>
          <cell r="M64">
            <v>0.61719999999999997</v>
          </cell>
        </row>
        <row r="65">
          <cell r="A65">
            <v>6.3</v>
          </cell>
          <cell r="B65">
            <v>0.89200000000000002</v>
          </cell>
          <cell r="C65">
            <v>0.89200000000000002</v>
          </cell>
          <cell r="D65">
            <v>0.78280000000000005</v>
          </cell>
          <cell r="E65">
            <v>0.78280000000000005</v>
          </cell>
          <cell r="F65">
            <v>0.78280000000000005</v>
          </cell>
          <cell r="G65">
            <v>0.78280000000000005</v>
          </cell>
          <cell r="H65">
            <v>0.78280000000000005</v>
          </cell>
          <cell r="I65">
            <v>0.61409999999999998</v>
          </cell>
          <cell r="J65">
            <v>0.61409999999999998</v>
          </cell>
          <cell r="K65">
            <v>0.61409999999999998</v>
          </cell>
          <cell r="L65">
            <v>0.61409999999999998</v>
          </cell>
          <cell r="M65">
            <v>0.61409999999999998</v>
          </cell>
        </row>
        <row r="66">
          <cell r="A66">
            <v>6.4</v>
          </cell>
          <cell r="B66">
            <v>0.88990000000000002</v>
          </cell>
          <cell r="C66">
            <v>0.88990000000000002</v>
          </cell>
          <cell r="D66">
            <v>0.78039999999999998</v>
          </cell>
          <cell r="E66">
            <v>0.78039999999999998</v>
          </cell>
          <cell r="F66">
            <v>0.78039999999999998</v>
          </cell>
          <cell r="G66">
            <v>0.78039999999999998</v>
          </cell>
          <cell r="H66">
            <v>0.78039999999999998</v>
          </cell>
          <cell r="I66">
            <v>0.61099999999999999</v>
          </cell>
          <cell r="J66">
            <v>0.61099999999999999</v>
          </cell>
          <cell r="K66">
            <v>0.61099999999999999</v>
          </cell>
          <cell r="L66">
            <v>0.61099999999999999</v>
          </cell>
          <cell r="M66">
            <v>0.61099999999999999</v>
          </cell>
        </row>
        <row r="67">
          <cell r="A67">
            <v>6.5</v>
          </cell>
          <cell r="B67">
            <v>0.88780000000000003</v>
          </cell>
          <cell r="C67">
            <v>0.88780000000000003</v>
          </cell>
          <cell r="D67">
            <v>0.77810000000000001</v>
          </cell>
          <cell r="E67">
            <v>0.77810000000000001</v>
          </cell>
          <cell r="F67">
            <v>0.77810000000000001</v>
          </cell>
          <cell r="G67">
            <v>0.77810000000000001</v>
          </cell>
          <cell r="H67">
            <v>0.77810000000000001</v>
          </cell>
          <cell r="I67">
            <v>0.60799999999999998</v>
          </cell>
          <cell r="J67">
            <v>0.60799999999999998</v>
          </cell>
          <cell r="K67">
            <v>0.60799999999999998</v>
          </cell>
          <cell r="L67">
            <v>0.60799999999999998</v>
          </cell>
          <cell r="M67">
            <v>0.60799999999999998</v>
          </cell>
        </row>
        <row r="68">
          <cell r="A68">
            <v>6.6</v>
          </cell>
          <cell r="B68">
            <v>0.88580000000000003</v>
          </cell>
          <cell r="C68">
            <v>0.88580000000000003</v>
          </cell>
          <cell r="D68">
            <v>0.77580000000000005</v>
          </cell>
          <cell r="E68">
            <v>0.77580000000000005</v>
          </cell>
          <cell r="F68">
            <v>0.77580000000000005</v>
          </cell>
          <cell r="G68">
            <v>0.77580000000000005</v>
          </cell>
          <cell r="H68">
            <v>0.77580000000000005</v>
          </cell>
          <cell r="I68">
            <v>0.60499999999999998</v>
          </cell>
          <cell r="J68">
            <v>0.60499999999999998</v>
          </cell>
          <cell r="K68">
            <v>0.60499999999999998</v>
          </cell>
          <cell r="L68">
            <v>0.60499999999999998</v>
          </cell>
          <cell r="M68">
            <v>0.60499999999999998</v>
          </cell>
        </row>
        <row r="69">
          <cell r="A69">
            <v>6.7</v>
          </cell>
          <cell r="B69">
            <v>0.88380000000000003</v>
          </cell>
          <cell r="C69">
            <v>0.88380000000000003</v>
          </cell>
          <cell r="D69">
            <v>0.77359999999999995</v>
          </cell>
          <cell r="E69">
            <v>0.77359999999999995</v>
          </cell>
          <cell r="F69">
            <v>0.77359999999999995</v>
          </cell>
          <cell r="G69">
            <v>0.77359999999999995</v>
          </cell>
          <cell r="H69">
            <v>0.77359999999999995</v>
          </cell>
          <cell r="I69">
            <v>0.60209999999999997</v>
          </cell>
          <cell r="J69">
            <v>0.60209999999999997</v>
          </cell>
          <cell r="K69">
            <v>0.60209999999999997</v>
          </cell>
          <cell r="L69">
            <v>0.60209999999999997</v>
          </cell>
          <cell r="M69">
            <v>0.60209999999999997</v>
          </cell>
        </row>
        <row r="70">
          <cell r="A70">
            <v>6.8</v>
          </cell>
          <cell r="B70">
            <v>0.88190000000000002</v>
          </cell>
          <cell r="C70">
            <v>0.88190000000000002</v>
          </cell>
          <cell r="D70">
            <v>0.77159999999999995</v>
          </cell>
          <cell r="E70">
            <v>0.77159999999999995</v>
          </cell>
          <cell r="F70">
            <v>0.77159999999999995</v>
          </cell>
          <cell r="G70">
            <v>0.77159999999999995</v>
          </cell>
          <cell r="H70">
            <v>0.77159999999999995</v>
          </cell>
          <cell r="I70">
            <v>0.59930000000000005</v>
          </cell>
          <cell r="J70">
            <v>0.59930000000000005</v>
          </cell>
          <cell r="K70">
            <v>0.59930000000000005</v>
          </cell>
          <cell r="L70">
            <v>0.59930000000000005</v>
          </cell>
          <cell r="M70">
            <v>0.59930000000000005</v>
          </cell>
        </row>
        <row r="71">
          <cell r="A71">
            <v>6.9</v>
          </cell>
          <cell r="B71">
            <v>0.88</v>
          </cell>
          <cell r="C71">
            <v>0.88</v>
          </cell>
          <cell r="D71">
            <v>0.76949999999999996</v>
          </cell>
          <cell r="E71">
            <v>0.76949999999999996</v>
          </cell>
          <cell r="F71">
            <v>0.76949999999999996</v>
          </cell>
          <cell r="G71">
            <v>0.76949999999999996</v>
          </cell>
          <cell r="H71">
            <v>0.76949999999999996</v>
          </cell>
          <cell r="I71">
            <v>0.59640000000000004</v>
          </cell>
          <cell r="J71">
            <v>0.59640000000000004</v>
          </cell>
          <cell r="K71">
            <v>0.59640000000000004</v>
          </cell>
          <cell r="L71">
            <v>0.59640000000000004</v>
          </cell>
          <cell r="M71">
            <v>0.59640000000000004</v>
          </cell>
        </row>
        <row r="72">
          <cell r="A72">
            <v>7</v>
          </cell>
          <cell r="B72">
            <v>0.87819999999999998</v>
          </cell>
          <cell r="C72">
            <v>0.87819999999999998</v>
          </cell>
          <cell r="D72">
            <v>0.76749999999999996</v>
          </cell>
          <cell r="E72">
            <v>0.76749999999999996</v>
          </cell>
          <cell r="F72">
            <v>0.76749999999999996</v>
          </cell>
          <cell r="G72">
            <v>0.76749999999999996</v>
          </cell>
          <cell r="H72">
            <v>0.76749999999999996</v>
          </cell>
          <cell r="I72">
            <v>0.59360000000000002</v>
          </cell>
          <cell r="J72">
            <v>0.59360000000000002</v>
          </cell>
          <cell r="K72">
            <v>0.59360000000000002</v>
          </cell>
          <cell r="L72">
            <v>0.59360000000000002</v>
          </cell>
          <cell r="M72">
            <v>0.59360000000000002</v>
          </cell>
        </row>
        <row r="73">
          <cell r="A73">
            <v>7.1</v>
          </cell>
          <cell r="B73">
            <v>0.87660000000000005</v>
          </cell>
          <cell r="C73">
            <v>0.87660000000000005</v>
          </cell>
          <cell r="D73">
            <v>0.76570000000000005</v>
          </cell>
          <cell r="E73">
            <v>0.76570000000000005</v>
          </cell>
          <cell r="F73">
            <v>0.76570000000000005</v>
          </cell>
          <cell r="G73">
            <v>0.76570000000000005</v>
          </cell>
          <cell r="H73">
            <v>0.76570000000000005</v>
          </cell>
          <cell r="I73">
            <v>0.59109999999999996</v>
          </cell>
          <cell r="J73">
            <v>0.59109999999999996</v>
          </cell>
          <cell r="K73">
            <v>0.59109999999999996</v>
          </cell>
          <cell r="L73">
            <v>0.59109999999999996</v>
          </cell>
          <cell r="M73">
            <v>0.59109999999999996</v>
          </cell>
        </row>
        <row r="74">
          <cell r="A74">
            <v>7.2</v>
          </cell>
          <cell r="B74">
            <v>0.87490000000000001</v>
          </cell>
          <cell r="C74">
            <v>0.87490000000000001</v>
          </cell>
          <cell r="D74">
            <v>0.76380000000000003</v>
          </cell>
          <cell r="E74">
            <v>0.76380000000000003</v>
          </cell>
          <cell r="F74">
            <v>0.76380000000000003</v>
          </cell>
          <cell r="G74">
            <v>0.76380000000000003</v>
          </cell>
          <cell r="H74">
            <v>0.76380000000000003</v>
          </cell>
          <cell r="I74">
            <v>0.58860000000000001</v>
          </cell>
          <cell r="J74">
            <v>0.58860000000000001</v>
          </cell>
          <cell r="K74">
            <v>0.58860000000000001</v>
          </cell>
          <cell r="L74">
            <v>0.58860000000000001</v>
          </cell>
          <cell r="M74">
            <v>0.58860000000000001</v>
          </cell>
        </row>
        <row r="75">
          <cell r="A75">
            <v>7.3</v>
          </cell>
          <cell r="B75">
            <v>0.87329999999999997</v>
          </cell>
          <cell r="C75">
            <v>0.87329999999999997</v>
          </cell>
          <cell r="D75">
            <v>0.76200000000000001</v>
          </cell>
          <cell r="E75">
            <v>0.76200000000000001</v>
          </cell>
          <cell r="F75">
            <v>0.76200000000000001</v>
          </cell>
          <cell r="G75">
            <v>0.76200000000000001</v>
          </cell>
          <cell r="H75">
            <v>0.76200000000000001</v>
          </cell>
          <cell r="I75">
            <v>0.58620000000000005</v>
          </cell>
          <cell r="J75">
            <v>0.58620000000000005</v>
          </cell>
          <cell r="K75">
            <v>0.58620000000000005</v>
          </cell>
          <cell r="L75">
            <v>0.58620000000000005</v>
          </cell>
          <cell r="M75">
            <v>0.58620000000000005</v>
          </cell>
        </row>
        <row r="76">
          <cell r="A76">
            <v>7.4</v>
          </cell>
          <cell r="B76">
            <v>0.87160000000000004</v>
          </cell>
          <cell r="C76">
            <v>0.87160000000000004</v>
          </cell>
          <cell r="D76">
            <v>0.76029999999999998</v>
          </cell>
          <cell r="E76">
            <v>0.76029999999999998</v>
          </cell>
          <cell r="F76">
            <v>0.76029999999999998</v>
          </cell>
          <cell r="G76">
            <v>0.76029999999999998</v>
          </cell>
          <cell r="H76">
            <v>0.76029999999999998</v>
          </cell>
          <cell r="I76">
            <v>0.58379999999999999</v>
          </cell>
          <cell r="J76">
            <v>0.58379999999999999</v>
          </cell>
          <cell r="K76">
            <v>0.58379999999999999</v>
          </cell>
          <cell r="L76">
            <v>0.58379999999999999</v>
          </cell>
          <cell r="M76">
            <v>0.58379999999999999</v>
          </cell>
        </row>
        <row r="77">
          <cell r="A77">
            <v>7.5</v>
          </cell>
          <cell r="B77">
            <v>0.87</v>
          </cell>
          <cell r="C77">
            <v>0.87</v>
          </cell>
          <cell r="D77">
            <v>0.75849999999999995</v>
          </cell>
          <cell r="E77">
            <v>0.75849999999999995</v>
          </cell>
          <cell r="F77">
            <v>0.75849999999999995</v>
          </cell>
          <cell r="G77">
            <v>0.75849999999999995</v>
          </cell>
          <cell r="H77">
            <v>0.75849999999999995</v>
          </cell>
          <cell r="I77">
            <v>0.58140000000000003</v>
          </cell>
          <cell r="J77">
            <v>0.58140000000000003</v>
          </cell>
          <cell r="K77">
            <v>0.58140000000000003</v>
          </cell>
          <cell r="L77">
            <v>0.58140000000000003</v>
          </cell>
          <cell r="M77">
            <v>0.58140000000000003</v>
          </cell>
        </row>
        <row r="78">
          <cell r="A78">
            <v>7.6</v>
          </cell>
          <cell r="B78">
            <v>0.86839999999999995</v>
          </cell>
          <cell r="C78">
            <v>0.86839999999999995</v>
          </cell>
          <cell r="D78">
            <v>0.75680000000000003</v>
          </cell>
          <cell r="E78">
            <v>0.75680000000000003</v>
          </cell>
          <cell r="F78">
            <v>0.75680000000000003</v>
          </cell>
          <cell r="G78">
            <v>0.75680000000000003</v>
          </cell>
          <cell r="H78">
            <v>0.75680000000000003</v>
          </cell>
          <cell r="I78">
            <v>0.57899999999999996</v>
          </cell>
          <cell r="J78">
            <v>0.57899999999999996</v>
          </cell>
          <cell r="K78">
            <v>0.57899999999999996</v>
          </cell>
          <cell r="L78">
            <v>0.57899999999999996</v>
          </cell>
          <cell r="M78">
            <v>0.57899999999999996</v>
          </cell>
        </row>
        <row r="79">
          <cell r="A79">
            <v>7.7</v>
          </cell>
          <cell r="B79">
            <v>0.8669</v>
          </cell>
          <cell r="C79">
            <v>0.8669</v>
          </cell>
          <cell r="D79">
            <v>0.755</v>
          </cell>
          <cell r="E79">
            <v>0.755</v>
          </cell>
          <cell r="F79">
            <v>0.755</v>
          </cell>
          <cell r="G79">
            <v>0.755</v>
          </cell>
          <cell r="H79">
            <v>0.755</v>
          </cell>
          <cell r="I79">
            <v>0.57669999999999999</v>
          </cell>
          <cell r="J79">
            <v>0.57669999999999999</v>
          </cell>
          <cell r="K79">
            <v>0.57669999999999999</v>
          </cell>
          <cell r="L79">
            <v>0.57669999999999999</v>
          </cell>
          <cell r="M79">
            <v>0.57669999999999999</v>
          </cell>
        </row>
        <row r="80">
          <cell r="A80">
            <v>7.8</v>
          </cell>
          <cell r="B80">
            <v>0.86539999999999995</v>
          </cell>
          <cell r="C80">
            <v>0.86539999999999995</v>
          </cell>
          <cell r="D80">
            <v>0.75329999999999997</v>
          </cell>
          <cell r="E80">
            <v>0.75329999999999997</v>
          </cell>
          <cell r="F80">
            <v>0.75329999999999997</v>
          </cell>
          <cell r="G80">
            <v>0.75329999999999997</v>
          </cell>
          <cell r="H80">
            <v>0.75329999999999997</v>
          </cell>
          <cell r="I80">
            <v>0.57450000000000001</v>
          </cell>
          <cell r="J80">
            <v>0.57450000000000001</v>
          </cell>
          <cell r="K80">
            <v>0.57450000000000001</v>
          </cell>
          <cell r="L80">
            <v>0.57450000000000001</v>
          </cell>
          <cell r="M80">
            <v>0.57450000000000001</v>
          </cell>
        </row>
        <row r="81">
          <cell r="A81">
            <v>7.9</v>
          </cell>
          <cell r="B81">
            <v>0.86380000000000001</v>
          </cell>
          <cell r="C81">
            <v>0.86380000000000001</v>
          </cell>
          <cell r="D81">
            <v>0.75170000000000003</v>
          </cell>
          <cell r="E81">
            <v>0.75170000000000003</v>
          </cell>
          <cell r="F81">
            <v>0.75170000000000003</v>
          </cell>
          <cell r="G81">
            <v>0.75170000000000003</v>
          </cell>
          <cell r="H81">
            <v>0.75170000000000003</v>
          </cell>
          <cell r="I81">
            <v>0.57220000000000004</v>
          </cell>
          <cell r="J81">
            <v>0.57220000000000004</v>
          </cell>
          <cell r="K81">
            <v>0.57220000000000004</v>
          </cell>
          <cell r="L81">
            <v>0.57220000000000004</v>
          </cell>
          <cell r="M81">
            <v>0.57220000000000004</v>
          </cell>
        </row>
        <row r="82">
          <cell r="A82">
            <v>8</v>
          </cell>
          <cell r="B82">
            <v>0.86240000000000006</v>
          </cell>
          <cell r="C82">
            <v>0.86240000000000006</v>
          </cell>
          <cell r="D82">
            <v>0.75</v>
          </cell>
          <cell r="E82">
            <v>0.75</v>
          </cell>
          <cell r="F82">
            <v>0.75</v>
          </cell>
          <cell r="G82">
            <v>0.75</v>
          </cell>
          <cell r="H82">
            <v>0.75</v>
          </cell>
          <cell r="I82">
            <v>0.56989999999999996</v>
          </cell>
          <cell r="J82">
            <v>0.56989999999999996</v>
          </cell>
          <cell r="K82">
            <v>0.56989999999999996</v>
          </cell>
          <cell r="L82">
            <v>0.56989999999999996</v>
          </cell>
          <cell r="M82">
            <v>0.56989999999999996</v>
          </cell>
        </row>
        <row r="83">
          <cell r="A83">
            <v>8.1</v>
          </cell>
          <cell r="B83">
            <v>0.86099999999999999</v>
          </cell>
          <cell r="C83">
            <v>0.86099999999999999</v>
          </cell>
          <cell r="D83">
            <v>0.74850000000000005</v>
          </cell>
          <cell r="E83">
            <v>0.74850000000000005</v>
          </cell>
          <cell r="F83">
            <v>0.74850000000000005</v>
          </cell>
          <cell r="G83">
            <v>0.74850000000000005</v>
          </cell>
          <cell r="H83">
            <v>0.74850000000000005</v>
          </cell>
          <cell r="I83">
            <v>0.56779999999999997</v>
          </cell>
          <cell r="J83">
            <v>0.56779999999999997</v>
          </cell>
          <cell r="K83">
            <v>0.56779999999999997</v>
          </cell>
          <cell r="L83">
            <v>0.56779999999999997</v>
          </cell>
          <cell r="M83">
            <v>0.56779999999999997</v>
          </cell>
        </row>
        <row r="84">
          <cell r="A84">
            <v>8.1999999999999993</v>
          </cell>
          <cell r="B84">
            <v>0.85970000000000002</v>
          </cell>
          <cell r="C84">
            <v>0.85970000000000002</v>
          </cell>
          <cell r="D84">
            <v>0.747</v>
          </cell>
          <cell r="E84">
            <v>0.747</v>
          </cell>
          <cell r="F84">
            <v>0.747</v>
          </cell>
          <cell r="G84">
            <v>0.747</v>
          </cell>
          <cell r="H84">
            <v>0.747</v>
          </cell>
          <cell r="I84">
            <v>0.56589999999999996</v>
          </cell>
          <cell r="J84">
            <v>0.56589999999999996</v>
          </cell>
          <cell r="K84">
            <v>0.56589999999999996</v>
          </cell>
          <cell r="L84">
            <v>0.56589999999999996</v>
          </cell>
          <cell r="M84">
            <v>0.56589999999999996</v>
          </cell>
        </row>
        <row r="85">
          <cell r="A85">
            <v>8.3000000000000007</v>
          </cell>
          <cell r="B85">
            <v>0.85840000000000005</v>
          </cell>
          <cell r="C85">
            <v>0.85840000000000005</v>
          </cell>
          <cell r="D85">
            <v>0.74560000000000004</v>
          </cell>
          <cell r="E85">
            <v>0.74560000000000004</v>
          </cell>
          <cell r="F85">
            <v>0.74560000000000004</v>
          </cell>
          <cell r="G85">
            <v>0.74560000000000004</v>
          </cell>
          <cell r="H85">
            <v>0.74560000000000004</v>
          </cell>
          <cell r="I85">
            <v>0.56389999999999996</v>
          </cell>
          <cell r="J85">
            <v>0.56389999999999996</v>
          </cell>
          <cell r="K85">
            <v>0.56389999999999996</v>
          </cell>
          <cell r="L85">
            <v>0.56389999999999996</v>
          </cell>
          <cell r="M85">
            <v>0.56389999999999996</v>
          </cell>
        </row>
        <row r="86">
          <cell r="A86">
            <v>8.4</v>
          </cell>
          <cell r="B86">
            <v>0.85709999999999997</v>
          </cell>
          <cell r="C86">
            <v>0.85709999999999997</v>
          </cell>
          <cell r="D86">
            <v>0.74419999999999997</v>
          </cell>
          <cell r="E86">
            <v>0.74419999999999997</v>
          </cell>
          <cell r="F86">
            <v>0.74419999999999997</v>
          </cell>
          <cell r="G86">
            <v>0.74419999999999997</v>
          </cell>
          <cell r="H86">
            <v>0.74419999999999997</v>
          </cell>
          <cell r="I86">
            <v>0.56189999999999996</v>
          </cell>
          <cell r="J86">
            <v>0.56189999999999996</v>
          </cell>
          <cell r="K86">
            <v>0.56189999999999996</v>
          </cell>
          <cell r="L86">
            <v>0.56189999999999996</v>
          </cell>
          <cell r="M86">
            <v>0.56189999999999996</v>
          </cell>
        </row>
        <row r="87">
          <cell r="A87">
            <v>8.5</v>
          </cell>
          <cell r="B87">
            <v>0.85580000000000001</v>
          </cell>
          <cell r="C87">
            <v>0.85580000000000001</v>
          </cell>
          <cell r="D87">
            <v>0.74270000000000003</v>
          </cell>
          <cell r="E87">
            <v>0.74270000000000003</v>
          </cell>
          <cell r="F87">
            <v>0.74270000000000003</v>
          </cell>
          <cell r="G87">
            <v>0.74270000000000003</v>
          </cell>
          <cell r="H87">
            <v>0.74270000000000003</v>
          </cell>
          <cell r="I87">
            <v>0.55989999999999995</v>
          </cell>
          <cell r="J87">
            <v>0.55989999999999995</v>
          </cell>
          <cell r="K87">
            <v>0.55989999999999995</v>
          </cell>
          <cell r="L87">
            <v>0.55989999999999995</v>
          </cell>
          <cell r="M87">
            <v>0.55989999999999995</v>
          </cell>
        </row>
        <row r="88">
          <cell r="A88">
            <v>8.6</v>
          </cell>
          <cell r="B88">
            <v>0.85450000000000004</v>
          </cell>
          <cell r="C88">
            <v>0.85450000000000004</v>
          </cell>
          <cell r="D88">
            <v>0.74129999999999996</v>
          </cell>
          <cell r="E88">
            <v>0.74129999999999996</v>
          </cell>
          <cell r="F88">
            <v>0.74129999999999996</v>
          </cell>
          <cell r="G88">
            <v>0.74129999999999996</v>
          </cell>
          <cell r="H88">
            <v>0.74129999999999996</v>
          </cell>
          <cell r="I88">
            <v>0.55800000000000005</v>
          </cell>
          <cell r="J88">
            <v>0.55800000000000005</v>
          </cell>
          <cell r="K88">
            <v>0.55800000000000005</v>
          </cell>
          <cell r="L88">
            <v>0.55800000000000005</v>
          </cell>
          <cell r="M88">
            <v>0.55800000000000005</v>
          </cell>
        </row>
        <row r="89">
          <cell r="A89">
            <v>8.6999999999999993</v>
          </cell>
          <cell r="B89">
            <v>0.85329999999999995</v>
          </cell>
          <cell r="C89">
            <v>0.85329999999999995</v>
          </cell>
          <cell r="D89">
            <v>0.7399</v>
          </cell>
          <cell r="E89">
            <v>0.7399</v>
          </cell>
          <cell r="F89">
            <v>0.7399</v>
          </cell>
          <cell r="G89">
            <v>0.7399</v>
          </cell>
          <cell r="H89">
            <v>0.7399</v>
          </cell>
          <cell r="I89">
            <v>0.55600000000000005</v>
          </cell>
          <cell r="J89">
            <v>0.55600000000000005</v>
          </cell>
          <cell r="K89">
            <v>0.55600000000000005</v>
          </cell>
          <cell r="L89">
            <v>0.55600000000000005</v>
          </cell>
          <cell r="M89">
            <v>0.55600000000000005</v>
          </cell>
        </row>
        <row r="90">
          <cell r="A90">
            <v>8.8000000000000007</v>
          </cell>
          <cell r="B90">
            <v>0.85209999999999997</v>
          </cell>
          <cell r="C90">
            <v>0.85209999999999997</v>
          </cell>
          <cell r="D90">
            <v>0.73850000000000005</v>
          </cell>
          <cell r="E90">
            <v>0.73850000000000005</v>
          </cell>
          <cell r="F90">
            <v>0.73850000000000005</v>
          </cell>
          <cell r="G90">
            <v>0.73850000000000005</v>
          </cell>
          <cell r="H90">
            <v>0.73850000000000005</v>
          </cell>
          <cell r="I90">
            <v>0.55420000000000003</v>
          </cell>
          <cell r="J90">
            <v>0.55420000000000003</v>
          </cell>
          <cell r="K90">
            <v>0.55420000000000003</v>
          </cell>
          <cell r="L90">
            <v>0.55420000000000003</v>
          </cell>
          <cell r="M90">
            <v>0.55420000000000003</v>
          </cell>
        </row>
        <row r="91">
          <cell r="A91">
            <v>8.9</v>
          </cell>
          <cell r="B91">
            <v>0.85099999999999998</v>
          </cell>
          <cell r="C91">
            <v>0.85099999999999998</v>
          </cell>
          <cell r="D91">
            <v>0.73719999999999997</v>
          </cell>
          <cell r="E91">
            <v>0.73719999999999997</v>
          </cell>
          <cell r="F91">
            <v>0.73719999999999997</v>
          </cell>
          <cell r="G91">
            <v>0.73719999999999997</v>
          </cell>
          <cell r="H91">
            <v>0.73719999999999997</v>
          </cell>
          <cell r="I91">
            <v>0.55230000000000001</v>
          </cell>
          <cell r="J91">
            <v>0.55230000000000001</v>
          </cell>
          <cell r="K91">
            <v>0.55230000000000001</v>
          </cell>
          <cell r="L91">
            <v>0.55230000000000001</v>
          </cell>
          <cell r="M91">
            <v>0.55230000000000001</v>
          </cell>
        </row>
        <row r="92">
          <cell r="A92">
            <v>9</v>
          </cell>
          <cell r="B92">
            <v>0.8498</v>
          </cell>
          <cell r="C92">
            <v>0.8498</v>
          </cell>
          <cell r="D92">
            <v>0.7359</v>
          </cell>
          <cell r="E92">
            <v>0.7359</v>
          </cell>
          <cell r="F92">
            <v>0.7359</v>
          </cell>
          <cell r="G92">
            <v>0.7359</v>
          </cell>
          <cell r="H92">
            <v>0.7359</v>
          </cell>
          <cell r="I92">
            <v>0.55049999999999999</v>
          </cell>
          <cell r="J92">
            <v>0.55049999999999999</v>
          </cell>
          <cell r="K92">
            <v>0.55049999999999999</v>
          </cell>
          <cell r="L92">
            <v>0.55049999999999999</v>
          </cell>
          <cell r="M92">
            <v>0.55049999999999999</v>
          </cell>
        </row>
        <row r="93">
          <cell r="A93">
            <v>9.1</v>
          </cell>
          <cell r="B93">
            <v>0.84870000000000001</v>
          </cell>
          <cell r="C93">
            <v>0.84870000000000001</v>
          </cell>
          <cell r="D93">
            <v>0.73470000000000002</v>
          </cell>
          <cell r="E93">
            <v>0.73470000000000002</v>
          </cell>
          <cell r="F93">
            <v>0.73470000000000002</v>
          </cell>
          <cell r="G93">
            <v>0.73470000000000002</v>
          </cell>
          <cell r="H93">
            <v>0.73470000000000002</v>
          </cell>
          <cell r="I93">
            <v>0.54879999999999995</v>
          </cell>
          <cell r="J93">
            <v>0.54879999999999995</v>
          </cell>
          <cell r="K93">
            <v>0.54879999999999995</v>
          </cell>
          <cell r="L93">
            <v>0.54879999999999995</v>
          </cell>
          <cell r="M93">
            <v>0.54879999999999995</v>
          </cell>
        </row>
        <row r="94">
          <cell r="A94">
            <v>9.1999999999999993</v>
          </cell>
          <cell r="B94">
            <v>0.84770000000000001</v>
          </cell>
          <cell r="C94">
            <v>0.84770000000000001</v>
          </cell>
          <cell r="D94">
            <v>0.73350000000000004</v>
          </cell>
          <cell r="E94">
            <v>0.73350000000000004</v>
          </cell>
          <cell r="F94">
            <v>0.73350000000000004</v>
          </cell>
          <cell r="G94">
            <v>0.73350000000000004</v>
          </cell>
          <cell r="H94">
            <v>0.73350000000000004</v>
          </cell>
          <cell r="I94">
            <v>0.54710000000000003</v>
          </cell>
          <cell r="J94">
            <v>0.54710000000000003</v>
          </cell>
          <cell r="K94">
            <v>0.54710000000000003</v>
          </cell>
          <cell r="L94">
            <v>0.54710000000000003</v>
          </cell>
          <cell r="M94">
            <v>0.54710000000000003</v>
          </cell>
        </row>
        <row r="95">
          <cell r="A95">
            <v>9.3000000000000007</v>
          </cell>
          <cell r="B95">
            <v>0.84660000000000002</v>
          </cell>
          <cell r="C95">
            <v>0.84660000000000002</v>
          </cell>
          <cell r="D95">
            <v>0.73229999999999995</v>
          </cell>
          <cell r="E95">
            <v>0.73229999999999995</v>
          </cell>
          <cell r="F95">
            <v>0.73229999999999995</v>
          </cell>
          <cell r="G95">
            <v>0.73229999999999995</v>
          </cell>
          <cell r="H95">
            <v>0.73229999999999995</v>
          </cell>
          <cell r="I95">
            <v>0.5454</v>
          </cell>
          <cell r="J95">
            <v>0.5454</v>
          </cell>
          <cell r="K95">
            <v>0.5454</v>
          </cell>
          <cell r="L95">
            <v>0.5454</v>
          </cell>
          <cell r="M95">
            <v>0.5454</v>
          </cell>
        </row>
        <row r="96">
          <cell r="A96">
            <v>9.4</v>
          </cell>
          <cell r="B96">
            <v>0.84550000000000003</v>
          </cell>
          <cell r="C96">
            <v>0.84550000000000003</v>
          </cell>
          <cell r="D96">
            <v>0.73109999999999997</v>
          </cell>
          <cell r="E96">
            <v>0.73109999999999997</v>
          </cell>
          <cell r="F96">
            <v>0.73109999999999997</v>
          </cell>
          <cell r="G96">
            <v>0.73109999999999997</v>
          </cell>
          <cell r="H96">
            <v>0.73109999999999997</v>
          </cell>
          <cell r="I96">
            <v>0.54369999999999996</v>
          </cell>
          <cell r="J96">
            <v>0.54369999999999996</v>
          </cell>
          <cell r="K96">
            <v>0.54369999999999996</v>
          </cell>
          <cell r="L96">
            <v>0.54369999999999996</v>
          </cell>
          <cell r="M96">
            <v>0.54369999999999996</v>
          </cell>
        </row>
        <row r="97">
          <cell r="A97">
            <v>9.5</v>
          </cell>
          <cell r="B97">
            <v>0.84450000000000003</v>
          </cell>
          <cell r="C97">
            <v>0.84450000000000003</v>
          </cell>
          <cell r="D97">
            <v>0.72989999999999999</v>
          </cell>
          <cell r="E97">
            <v>0.72989999999999999</v>
          </cell>
          <cell r="F97">
            <v>0.72989999999999999</v>
          </cell>
          <cell r="G97">
            <v>0.72989999999999999</v>
          </cell>
          <cell r="H97">
            <v>0.72989999999999999</v>
          </cell>
          <cell r="I97">
            <v>0.54200000000000004</v>
          </cell>
          <cell r="J97">
            <v>0.54200000000000004</v>
          </cell>
          <cell r="K97">
            <v>0.54200000000000004</v>
          </cell>
          <cell r="L97">
            <v>0.54200000000000004</v>
          </cell>
          <cell r="M97">
            <v>0.54200000000000004</v>
          </cell>
        </row>
        <row r="98">
          <cell r="A98">
            <v>9.6</v>
          </cell>
          <cell r="B98">
            <v>0.84340000000000004</v>
          </cell>
          <cell r="C98">
            <v>0.84340000000000004</v>
          </cell>
          <cell r="D98">
            <v>0.72870000000000001</v>
          </cell>
          <cell r="E98">
            <v>0.72870000000000001</v>
          </cell>
          <cell r="F98">
            <v>0.72870000000000001</v>
          </cell>
          <cell r="G98">
            <v>0.72870000000000001</v>
          </cell>
          <cell r="H98">
            <v>0.72870000000000001</v>
          </cell>
          <cell r="I98">
            <v>0.5403</v>
          </cell>
          <cell r="J98">
            <v>0.5403</v>
          </cell>
          <cell r="K98">
            <v>0.5403</v>
          </cell>
          <cell r="L98">
            <v>0.5403</v>
          </cell>
          <cell r="M98">
            <v>0.5403</v>
          </cell>
        </row>
        <row r="99">
          <cell r="A99">
            <v>9.6999999999999993</v>
          </cell>
          <cell r="B99">
            <v>0.84230000000000005</v>
          </cell>
          <cell r="C99">
            <v>0.84230000000000005</v>
          </cell>
          <cell r="D99">
            <v>0.72750000000000004</v>
          </cell>
          <cell r="E99">
            <v>0.72750000000000004</v>
          </cell>
          <cell r="F99">
            <v>0.72750000000000004</v>
          </cell>
          <cell r="G99">
            <v>0.72750000000000004</v>
          </cell>
          <cell r="H99">
            <v>0.72750000000000004</v>
          </cell>
          <cell r="I99">
            <v>0.53859999999999997</v>
          </cell>
          <cell r="J99">
            <v>0.53859999999999997</v>
          </cell>
          <cell r="K99">
            <v>0.53859999999999997</v>
          </cell>
          <cell r="L99">
            <v>0.53859999999999997</v>
          </cell>
          <cell r="M99">
            <v>0.53859999999999997</v>
          </cell>
        </row>
        <row r="100">
          <cell r="A100">
            <v>9.8000000000000007</v>
          </cell>
          <cell r="B100">
            <v>0.84140000000000004</v>
          </cell>
          <cell r="C100">
            <v>0.84140000000000004</v>
          </cell>
          <cell r="D100">
            <v>0.72629999999999995</v>
          </cell>
          <cell r="E100">
            <v>0.72629999999999995</v>
          </cell>
          <cell r="F100">
            <v>0.72629999999999995</v>
          </cell>
          <cell r="G100">
            <v>0.72629999999999995</v>
          </cell>
          <cell r="H100">
            <v>0.72629999999999995</v>
          </cell>
          <cell r="I100">
            <v>0.53710000000000002</v>
          </cell>
          <cell r="J100">
            <v>0.53710000000000002</v>
          </cell>
          <cell r="K100">
            <v>0.53710000000000002</v>
          </cell>
          <cell r="L100">
            <v>0.53710000000000002</v>
          </cell>
          <cell r="M100">
            <v>0.53710000000000002</v>
          </cell>
        </row>
        <row r="101">
          <cell r="A101">
            <v>9.9</v>
          </cell>
          <cell r="B101">
            <v>0.84050000000000002</v>
          </cell>
          <cell r="C101">
            <v>0.84050000000000002</v>
          </cell>
          <cell r="D101">
            <v>0.72519999999999996</v>
          </cell>
          <cell r="E101">
            <v>0.72519999999999996</v>
          </cell>
          <cell r="F101">
            <v>0.72519999999999996</v>
          </cell>
          <cell r="G101">
            <v>0.72519999999999996</v>
          </cell>
          <cell r="H101">
            <v>0.72519999999999996</v>
          </cell>
          <cell r="I101">
            <v>0.53549999999999998</v>
          </cell>
          <cell r="J101">
            <v>0.53549999999999998</v>
          </cell>
          <cell r="K101">
            <v>0.53549999999999998</v>
          </cell>
          <cell r="L101">
            <v>0.53549999999999998</v>
          </cell>
          <cell r="M101">
            <v>0.53549999999999998</v>
          </cell>
        </row>
        <row r="102">
          <cell r="A102">
            <v>10</v>
          </cell>
          <cell r="B102">
            <v>0.83950000000000002</v>
          </cell>
          <cell r="C102">
            <v>0.83950000000000002</v>
          </cell>
          <cell r="D102">
            <v>0.72409999999999997</v>
          </cell>
          <cell r="E102">
            <v>0.72409999999999997</v>
          </cell>
          <cell r="F102">
            <v>0.72409999999999997</v>
          </cell>
          <cell r="G102">
            <v>0.72409999999999997</v>
          </cell>
          <cell r="H102">
            <v>0.72409999999999997</v>
          </cell>
          <cell r="I102">
            <v>0.53400000000000003</v>
          </cell>
          <cell r="J102">
            <v>0.53400000000000003</v>
          </cell>
          <cell r="K102">
            <v>0.53400000000000003</v>
          </cell>
          <cell r="L102">
            <v>0.53400000000000003</v>
          </cell>
          <cell r="M102">
            <v>0.53400000000000003</v>
          </cell>
        </row>
        <row r="105">
          <cell r="A105">
            <v>0.1</v>
          </cell>
          <cell r="B105">
            <v>13.733000000000001</v>
          </cell>
          <cell r="C105">
            <v>13.733000000000001</v>
          </cell>
          <cell r="D105">
            <v>12.787000000000001</v>
          </cell>
          <cell r="E105">
            <v>12.787000000000001</v>
          </cell>
          <cell r="F105">
            <v>12.787000000000001</v>
          </cell>
          <cell r="G105">
            <v>12.787000000000001</v>
          </cell>
          <cell r="H105">
            <v>12.787000000000001</v>
          </cell>
          <cell r="I105">
            <v>12.384</v>
          </cell>
          <cell r="J105">
            <v>12.384</v>
          </cell>
          <cell r="K105">
            <v>12.384</v>
          </cell>
          <cell r="L105">
            <v>12.384</v>
          </cell>
          <cell r="M105">
            <v>12.384</v>
          </cell>
        </row>
        <row r="106">
          <cell r="A106">
            <v>0.2</v>
          </cell>
          <cell r="B106">
            <v>6.8665000000000003</v>
          </cell>
          <cell r="C106">
            <v>6.8665000000000003</v>
          </cell>
          <cell r="D106">
            <v>6.3935000000000004</v>
          </cell>
          <cell r="E106">
            <v>6.3935000000000004</v>
          </cell>
          <cell r="F106">
            <v>6.3935000000000004</v>
          </cell>
          <cell r="G106">
            <v>6.3935000000000004</v>
          </cell>
          <cell r="H106">
            <v>6.3935000000000004</v>
          </cell>
          <cell r="I106">
            <v>6.1920000000000002</v>
          </cell>
          <cell r="J106">
            <v>6.1920000000000002</v>
          </cell>
          <cell r="K106">
            <v>6.1920000000000002</v>
          </cell>
          <cell r="L106">
            <v>6.1920000000000002</v>
          </cell>
          <cell r="M106">
            <v>6.1920000000000002</v>
          </cell>
        </row>
        <row r="107">
          <cell r="A107">
            <v>0.3</v>
          </cell>
          <cell r="B107">
            <v>4.5777000000000001</v>
          </cell>
          <cell r="C107">
            <v>4.5777000000000001</v>
          </cell>
          <cell r="D107">
            <v>4.2622999999999998</v>
          </cell>
          <cell r="E107">
            <v>4.2622999999999998</v>
          </cell>
          <cell r="F107">
            <v>4.2622999999999998</v>
          </cell>
          <cell r="G107">
            <v>4.2622999999999998</v>
          </cell>
          <cell r="H107">
            <v>4.2622999999999998</v>
          </cell>
          <cell r="I107">
            <v>4.1280000000000001</v>
          </cell>
          <cell r="J107">
            <v>4.1280000000000001</v>
          </cell>
          <cell r="K107">
            <v>4.1280000000000001</v>
          </cell>
          <cell r="L107">
            <v>4.1280000000000001</v>
          </cell>
          <cell r="M107">
            <v>4.1280000000000001</v>
          </cell>
        </row>
        <row r="108">
          <cell r="A108">
            <v>0.4</v>
          </cell>
          <cell r="B108">
            <v>3.4333</v>
          </cell>
          <cell r="C108">
            <v>3.4333</v>
          </cell>
          <cell r="D108">
            <v>3.1968000000000001</v>
          </cell>
          <cell r="E108">
            <v>3.1968000000000001</v>
          </cell>
          <cell r="F108">
            <v>3.1968000000000001</v>
          </cell>
          <cell r="G108">
            <v>3.1968000000000001</v>
          </cell>
          <cell r="H108">
            <v>3.1968000000000001</v>
          </cell>
          <cell r="I108">
            <v>3.0960000000000001</v>
          </cell>
          <cell r="J108">
            <v>3.0960000000000001</v>
          </cell>
          <cell r="K108">
            <v>3.0960000000000001</v>
          </cell>
          <cell r="L108">
            <v>3.0960000000000001</v>
          </cell>
          <cell r="M108">
            <v>3.0960000000000001</v>
          </cell>
        </row>
        <row r="109">
          <cell r="A109">
            <v>0.5</v>
          </cell>
          <cell r="B109">
            <v>2.7465999999999999</v>
          </cell>
          <cell r="C109">
            <v>2.7465999999999999</v>
          </cell>
          <cell r="D109">
            <v>2.5573999999999999</v>
          </cell>
          <cell r="E109">
            <v>2.5573999999999999</v>
          </cell>
          <cell r="F109">
            <v>2.5573999999999999</v>
          </cell>
          <cell r="G109">
            <v>2.5573999999999999</v>
          </cell>
          <cell r="H109">
            <v>2.5573999999999999</v>
          </cell>
          <cell r="I109">
            <v>2.4767999999999999</v>
          </cell>
          <cell r="J109">
            <v>2.4767999999999999</v>
          </cell>
          <cell r="K109">
            <v>2.4767999999999999</v>
          </cell>
          <cell r="L109">
            <v>2.4767999999999999</v>
          </cell>
          <cell r="M109">
            <v>2.4767999999999999</v>
          </cell>
        </row>
        <row r="110">
          <cell r="A110">
            <v>0.6</v>
          </cell>
          <cell r="B110">
            <v>2.2888000000000002</v>
          </cell>
          <cell r="C110">
            <v>2.2888000000000002</v>
          </cell>
          <cell r="D110">
            <v>2.1312000000000002</v>
          </cell>
          <cell r="E110">
            <v>2.1312000000000002</v>
          </cell>
          <cell r="F110">
            <v>2.1312000000000002</v>
          </cell>
          <cell r="G110">
            <v>2.1312000000000002</v>
          </cell>
          <cell r="H110">
            <v>2.1312000000000002</v>
          </cell>
          <cell r="I110">
            <v>2.0640000000000001</v>
          </cell>
          <cell r="J110">
            <v>2.0640000000000001</v>
          </cell>
          <cell r="K110">
            <v>2.0640000000000001</v>
          </cell>
          <cell r="L110">
            <v>2.0640000000000001</v>
          </cell>
          <cell r="M110">
            <v>2.0640000000000001</v>
          </cell>
        </row>
        <row r="111">
          <cell r="A111">
            <v>0.7</v>
          </cell>
          <cell r="B111">
            <v>1.9619</v>
          </cell>
          <cell r="C111">
            <v>1.9619</v>
          </cell>
          <cell r="D111">
            <v>1.8267</v>
          </cell>
          <cell r="E111">
            <v>1.8267</v>
          </cell>
          <cell r="F111">
            <v>1.8267</v>
          </cell>
          <cell r="G111">
            <v>1.8267</v>
          </cell>
          <cell r="H111">
            <v>1.8267</v>
          </cell>
          <cell r="I111">
            <v>1.7690999999999999</v>
          </cell>
          <cell r="J111">
            <v>1.7690999999999999</v>
          </cell>
          <cell r="K111">
            <v>1.7690999999999999</v>
          </cell>
          <cell r="L111">
            <v>1.7690999999999999</v>
          </cell>
          <cell r="M111">
            <v>1.7690999999999999</v>
          </cell>
        </row>
        <row r="112">
          <cell r="A112">
            <v>0.8</v>
          </cell>
          <cell r="B112">
            <v>1.7165999999999999</v>
          </cell>
          <cell r="C112">
            <v>1.7165999999999999</v>
          </cell>
          <cell r="D112">
            <v>1.5984</v>
          </cell>
          <cell r="E112">
            <v>1.5984</v>
          </cell>
          <cell r="F112">
            <v>1.5984</v>
          </cell>
          <cell r="G112">
            <v>1.5984</v>
          </cell>
          <cell r="H112">
            <v>1.5984</v>
          </cell>
          <cell r="I112">
            <v>1.548</v>
          </cell>
          <cell r="J112">
            <v>1.548</v>
          </cell>
          <cell r="K112">
            <v>1.548</v>
          </cell>
          <cell r="L112">
            <v>1.548</v>
          </cell>
          <cell r="M112">
            <v>1.548</v>
          </cell>
        </row>
        <row r="113">
          <cell r="A113">
            <v>0.9</v>
          </cell>
          <cell r="B113">
            <v>1.5259</v>
          </cell>
          <cell r="C113">
            <v>1.5259</v>
          </cell>
          <cell r="D113">
            <v>1.4208000000000001</v>
          </cell>
          <cell r="E113">
            <v>1.4208000000000001</v>
          </cell>
          <cell r="F113">
            <v>1.4208000000000001</v>
          </cell>
          <cell r="G113">
            <v>1.4208000000000001</v>
          </cell>
          <cell r="H113">
            <v>1.4208000000000001</v>
          </cell>
          <cell r="I113">
            <v>1.3759999999999999</v>
          </cell>
          <cell r="J113">
            <v>1.3759999999999999</v>
          </cell>
          <cell r="K113">
            <v>1.3759999999999999</v>
          </cell>
          <cell r="L113">
            <v>1.3759999999999999</v>
          </cell>
          <cell r="M113">
            <v>1.3759999999999999</v>
          </cell>
        </row>
        <row r="114">
          <cell r="A114">
            <v>1</v>
          </cell>
          <cell r="B114">
            <v>1.3733</v>
          </cell>
          <cell r="C114">
            <v>1.3733</v>
          </cell>
          <cell r="D114">
            <v>1.2786999999999999</v>
          </cell>
          <cell r="E114">
            <v>1.2786999999999999</v>
          </cell>
          <cell r="F114">
            <v>1.2786999999999999</v>
          </cell>
          <cell r="G114">
            <v>1.2786999999999999</v>
          </cell>
          <cell r="H114">
            <v>1.2786999999999999</v>
          </cell>
          <cell r="I114">
            <v>1.2383999999999999</v>
          </cell>
          <cell r="J114">
            <v>1.2383999999999999</v>
          </cell>
          <cell r="K114">
            <v>1.2383999999999999</v>
          </cell>
          <cell r="L114">
            <v>1.2383999999999999</v>
          </cell>
          <cell r="M114">
            <v>1.2383999999999999</v>
          </cell>
        </row>
        <row r="115">
          <cell r="A115">
            <v>1.1000000000000001</v>
          </cell>
          <cell r="B115">
            <v>1.3489</v>
          </cell>
          <cell r="C115">
            <v>1.3489</v>
          </cell>
          <cell r="D115">
            <v>1.2542</v>
          </cell>
          <cell r="E115">
            <v>1.2542</v>
          </cell>
          <cell r="F115">
            <v>1.2542</v>
          </cell>
          <cell r="G115">
            <v>1.2542</v>
          </cell>
          <cell r="H115">
            <v>1.2542</v>
          </cell>
          <cell r="I115">
            <v>1.2050000000000001</v>
          </cell>
          <cell r="J115">
            <v>1.2050000000000001</v>
          </cell>
          <cell r="K115">
            <v>1.2050000000000001</v>
          </cell>
          <cell r="L115">
            <v>1.2050000000000001</v>
          </cell>
          <cell r="M115">
            <v>1.2050000000000001</v>
          </cell>
        </row>
        <row r="116">
          <cell r="A116">
            <v>1.2</v>
          </cell>
          <cell r="B116">
            <v>1.3255999999999999</v>
          </cell>
          <cell r="C116">
            <v>1.3255999999999999</v>
          </cell>
          <cell r="D116">
            <v>1.2305999999999999</v>
          </cell>
          <cell r="E116">
            <v>1.2305999999999999</v>
          </cell>
          <cell r="F116">
            <v>1.2305999999999999</v>
          </cell>
          <cell r="G116">
            <v>1.2305999999999999</v>
          </cell>
          <cell r="H116">
            <v>1.2305999999999999</v>
          </cell>
          <cell r="I116">
            <v>1.1741999999999999</v>
          </cell>
          <cell r="J116">
            <v>1.1741999999999999</v>
          </cell>
          <cell r="K116">
            <v>1.1741999999999999</v>
          </cell>
          <cell r="L116">
            <v>1.1741999999999999</v>
          </cell>
          <cell r="M116">
            <v>1.1741999999999999</v>
          </cell>
        </row>
        <row r="117">
          <cell r="A117">
            <v>1.3</v>
          </cell>
          <cell r="B117">
            <v>1.3032999999999999</v>
          </cell>
          <cell r="C117">
            <v>1.3032999999999999</v>
          </cell>
          <cell r="D117">
            <v>1.2079</v>
          </cell>
          <cell r="E117">
            <v>1.2079</v>
          </cell>
          <cell r="F117">
            <v>1.2079</v>
          </cell>
          <cell r="G117">
            <v>1.2079</v>
          </cell>
          <cell r="H117">
            <v>1.2079</v>
          </cell>
          <cell r="I117">
            <v>1.1459999999999999</v>
          </cell>
          <cell r="J117">
            <v>1.1459999999999999</v>
          </cell>
          <cell r="K117">
            <v>1.1459999999999999</v>
          </cell>
          <cell r="L117">
            <v>1.1459999999999999</v>
          </cell>
          <cell r="M117">
            <v>1.1459999999999999</v>
          </cell>
        </row>
        <row r="118">
          <cell r="A118">
            <v>1.4</v>
          </cell>
          <cell r="B118">
            <v>1.282</v>
          </cell>
          <cell r="C118">
            <v>1.282</v>
          </cell>
          <cell r="D118">
            <v>1.1861999999999999</v>
          </cell>
          <cell r="E118">
            <v>1.1861999999999999</v>
          </cell>
          <cell r="F118">
            <v>1.1861999999999999</v>
          </cell>
          <cell r="G118">
            <v>1.1861999999999999</v>
          </cell>
          <cell r="H118">
            <v>1.1861999999999999</v>
          </cell>
          <cell r="I118">
            <v>1.1200000000000001</v>
          </cell>
          <cell r="J118">
            <v>1.1200000000000001</v>
          </cell>
          <cell r="K118">
            <v>1.1200000000000001</v>
          </cell>
          <cell r="L118">
            <v>1.1200000000000001</v>
          </cell>
          <cell r="M118">
            <v>1.1200000000000001</v>
          </cell>
        </row>
        <row r="119">
          <cell r="A119">
            <v>1.5</v>
          </cell>
          <cell r="B119">
            <v>1.2617</v>
          </cell>
          <cell r="C119">
            <v>1.2617</v>
          </cell>
          <cell r="D119">
            <v>1.1653</v>
          </cell>
          <cell r="E119">
            <v>1.1653</v>
          </cell>
          <cell r="F119">
            <v>1.1653</v>
          </cell>
          <cell r="G119">
            <v>1.1653</v>
          </cell>
          <cell r="H119">
            <v>1.1653</v>
          </cell>
          <cell r="I119">
            <v>1.0961000000000001</v>
          </cell>
          <cell r="J119">
            <v>1.0961000000000001</v>
          </cell>
          <cell r="K119">
            <v>1.0961000000000001</v>
          </cell>
          <cell r="L119">
            <v>1.0961000000000001</v>
          </cell>
          <cell r="M119">
            <v>1.0961000000000001</v>
          </cell>
        </row>
        <row r="120">
          <cell r="A120">
            <v>1.6</v>
          </cell>
          <cell r="B120">
            <v>1.2423</v>
          </cell>
          <cell r="C120">
            <v>1.2423</v>
          </cell>
          <cell r="D120">
            <v>1.1453</v>
          </cell>
          <cell r="E120">
            <v>1.1453</v>
          </cell>
          <cell r="F120">
            <v>1.1453</v>
          </cell>
          <cell r="G120">
            <v>1.1453</v>
          </cell>
          <cell r="H120">
            <v>1.1453</v>
          </cell>
          <cell r="I120">
            <v>1.0740000000000001</v>
          </cell>
          <cell r="J120">
            <v>1.0740000000000001</v>
          </cell>
          <cell r="K120">
            <v>1.0740000000000001</v>
          </cell>
          <cell r="L120">
            <v>1.0740000000000001</v>
          </cell>
          <cell r="M120">
            <v>1.0740000000000001</v>
          </cell>
        </row>
        <row r="121">
          <cell r="A121">
            <v>1.7</v>
          </cell>
          <cell r="B121">
            <v>1.2237</v>
          </cell>
          <cell r="C121">
            <v>1.2237</v>
          </cell>
          <cell r="D121">
            <v>1.1261000000000001</v>
          </cell>
          <cell r="E121">
            <v>1.1261000000000001</v>
          </cell>
          <cell r="F121">
            <v>1.1261000000000001</v>
          </cell>
          <cell r="G121">
            <v>1.1261000000000001</v>
          </cell>
          <cell r="H121">
            <v>1.1261000000000001</v>
          </cell>
          <cell r="I121">
            <v>1.0535000000000001</v>
          </cell>
          <cell r="J121">
            <v>1.0535000000000001</v>
          </cell>
          <cell r="K121">
            <v>1.0535000000000001</v>
          </cell>
          <cell r="L121">
            <v>1.0535000000000001</v>
          </cell>
          <cell r="M121">
            <v>1.0535000000000001</v>
          </cell>
        </row>
        <row r="122">
          <cell r="A122">
            <v>1.8</v>
          </cell>
          <cell r="B122">
            <v>1.206</v>
          </cell>
          <cell r="C122">
            <v>1.206</v>
          </cell>
          <cell r="D122">
            <v>1.1076999999999999</v>
          </cell>
          <cell r="E122">
            <v>1.1076999999999999</v>
          </cell>
          <cell r="F122">
            <v>1.1076999999999999</v>
          </cell>
          <cell r="G122">
            <v>1.1076999999999999</v>
          </cell>
          <cell r="H122">
            <v>1.1076999999999999</v>
          </cell>
          <cell r="I122">
            <v>1.0345</v>
          </cell>
          <cell r="J122">
            <v>1.0345</v>
          </cell>
          <cell r="K122">
            <v>1.0345</v>
          </cell>
          <cell r="L122">
            <v>1.0345</v>
          </cell>
          <cell r="M122">
            <v>1.0345</v>
          </cell>
        </row>
        <row r="123">
          <cell r="A123">
            <v>1.9</v>
          </cell>
          <cell r="B123">
            <v>1.1891</v>
          </cell>
          <cell r="C123">
            <v>1.1891</v>
          </cell>
          <cell r="D123">
            <v>1.0901000000000001</v>
          </cell>
          <cell r="E123">
            <v>1.0901000000000001</v>
          </cell>
          <cell r="F123">
            <v>1.0901000000000001</v>
          </cell>
          <cell r="G123">
            <v>1.0901000000000001</v>
          </cell>
          <cell r="H123">
            <v>1.0901000000000001</v>
          </cell>
          <cell r="I123">
            <v>1.0166999999999999</v>
          </cell>
          <cell r="J123">
            <v>1.0166999999999999</v>
          </cell>
          <cell r="K123">
            <v>1.0166999999999999</v>
          </cell>
          <cell r="L123">
            <v>1.0166999999999999</v>
          </cell>
          <cell r="M123">
            <v>1.0166999999999999</v>
          </cell>
        </row>
        <row r="124">
          <cell r="A124">
            <v>2</v>
          </cell>
          <cell r="B124">
            <v>1.1729000000000001</v>
          </cell>
          <cell r="C124">
            <v>1.1729000000000001</v>
          </cell>
          <cell r="D124">
            <v>1.0732999999999999</v>
          </cell>
          <cell r="E124">
            <v>1.0732999999999999</v>
          </cell>
          <cell r="F124">
            <v>1.0732999999999999</v>
          </cell>
          <cell r="G124">
            <v>1.0732999999999999</v>
          </cell>
          <cell r="H124">
            <v>1.0732999999999999</v>
          </cell>
          <cell r="I124">
            <v>1</v>
          </cell>
          <cell r="J124">
            <v>1</v>
          </cell>
          <cell r="K124">
            <v>1</v>
          </cell>
          <cell r="L124">
            <v>1</v>
          </cell>
          <cell r="M124">
            <v>1</v>
          </cell>
        </row>
        <row r="125">
          <cell r="A125">
            <v>2.1</v>
          </cell>
          <cell r="B125">
            <v>1.1574</v>
          </cell>
          <cell r="C125">
            <v>1.1574</v>
          </cell>
          <cell r="D125">
            <v>1.0571999999999999</v>
          </cell>
          <cell r="E125">
            <v>1.0571999999999999</v>
          </cell>
          <cell r="F125">
            <v>1.0571999999999999</v>
          </cell>
          <cell r="G125">
            <v>1.0571999999999999</v>
          </cell>
          <cell r="H125">
            <v>1.0571999999999999</v>
          </cell>
          <cell r="I125">
            <v>0.98409999999999997</v>
          </cell>
          <cell r="J125">
            <v>0.98409999999999997</v>
          </cell>
          <cell r="K125">
            <v>0.98409999999999997</v>
          </cell>
          <cell r="L125">
            <v>0.98409999999999997</v>
          </cell>
          <cell r="M125">
            <v>0.98409999999999997</v>
          </cell>
        </row>
        <row r="126">
          <cell r="A126">
            <v>2.2000000000000002</v>
          </cell>
          <cell r="B126">
            <v>1.1426000000000001</v>
          </cell>
          <cell r="C126">
            <v>1.1426000000000001</v>
          </cell>
          <cell r="D126">
            <v>1.0419</v>
          </cell>
          <cell r="E126">
            <v>1.0419</v>
          </cell>
          <cell r="F126">
            <v>1.0419</v>
          </cell>
          <cell r="G126">
            <v>1.0419</v>
          </cell>
          <cell r="H126">
            <v>1.0419</v>
          </cell>
          <cell r="I126">
            <v>0.96889999999999998</v>
          </cell>
          <cell r="J126">
            <v>0.96889999999999998</v>
          </cell>
          <cell r="K126">
            <v>0.96889999999999998</v>
          </cell>
          <cell r="L126">
            <v>0.96889999999999998</v>
          </cell>
          <cell r="M126">
            <v>0.96889999999999998</v>
          </cell>
        </row>
        <row r="127">
          <cell r="A127">
            <v>2.2999999999999998</v>
          </cell>
          <cell r="B127">
            <v>1.1285000000000001</v>
          </cell>
          <cell r="C127">
            <v>1.1285000000000001</v>
          </cell>
          <cell r="D127">
            <v>1.0271999999999999</v>
          </cell>
          <cell r="E127">
            <v>1.0271999999999999</v>
          </cell>
          <cell r="F127">
            <v>1.0271999999999999</v>
          </cell>
          <cell r="G127">
            <v>1.0271999999999999</v>
          </cell>
          <cell r="H127">
            <v>1.0271999999999999</v>
          </cell>
          <cell r="I127">
            <v>0.95440000000000003</v>
          </cell>
          <cell r="J127">
            <v>0.95440000000000003</v>
          </cell>
          <cell r="K127">
            <v>0.95440000000000003</v>
          </cell>
          <cell r="L127">
            <v>0.95440000000000003</v>
          </cell>
          <cell r="M127">
            <v>0.95440000000000003</v>
          </cell>
        </row>
        <row r="128">
          <cell r="A128">
            <v>2.4</v>
          </cell>
          <cell r="B128">
            <v>1.1149</v>
          </cell>
          <cell r="C128">
            <v>1.1149</v>
          </cell>
          <cell r="D128">
            <v>1.0133000000000001</v>
          </cell>
          <cell r="E128">
            <v>1.0133000000000001</v>
          </cell>
          <cell r="F128">
            <v>1.0133000000000001</v>
          </cell>
          <cell r="G128">
            <v>1.0133000000000001</v>
          </cell>
          <cell r="H128">
            <v>1.0133000000000001</v>
          </cell>
          <cell r="I128">
            <v>0.9405</v>
          </cell>
          <cell r="J128">
            <v>0.9405</v>
          </cell>
          <cell r="K128">
            <v>0.9405</v>
          </cell>
          <cell r="L128">
            <v>0.9405</v>
          </cell>
          <cell r="M128">
            <v>0.9405</v>
          </cell>
        </row>
        <row r="129">
          <cell r="A129">
            <v>2.5</v>
          </cell>
          <cell r="B129">
            <v>1.1020000000000001</v>
          </cell>
          <cell r="C129">
            <v>1.1020000000000001</v>
          </cell>
          <cell r="D129">
            <v>1</v>
          </cell>
          <cell r="E129">
            <v>1</v>
          </cell>
          <cell r="F129">
            <v>1</v>
          </cell>
          <cell r="G129">
            <v>1</v>
          </cell>
          <cell r="H129">
            <v>1</v>
          </cell>
          <cell r="I129">
            <v>0.92730000000000001</v>
          </cell>
          <cell r="J129">
            <v>0.92730000000000001</v>
          </cell>
          <cell r="K129">
            <v>0.92730000000000001</v>
          </cell>
          <cell r="L129">
            <v>0.92730000000000001</v>
          </cell>
          <cell r="M129">
            <v>0.92730000000000001</v>
          </cell>
        </row>
        <row r="130">
          <cell r="A130">
            <v>2.6</v>
          </cell>
          <cell r="B130">
            <v>1.0895999999999999</v>
          </cell>
          <cell r="C130">
            <v>1.0895999999999999</v>
          </cell>
          <cell r="D130">
            <v>0.98740000000000006</v>
          </cell>
          <cell r="E130">
            <v>0.98740000000000006</v>
          </cell>
          <cell r="F130">
            <v>0.98740000000000006</v>
          </cell>
          <cell r="G130">
            <v>0.98740000000000006</v>
          </cell>
          <cell r="H130">
            <v>0.98740000000000006</v>
          </cell>
          <cell r="I130">
            <v>0.91469999999999996</v>
          </cell>
          <cell r="J130">
            <v>0.91469999999999996</v>
          </cell>
          <cell r="K130">
            <v>0.91469999999999996</v>
          </cell>
          <cell r="L130">
            <v>0.91469999999999996</v>
          </cell>
          <cell r="M130">
            <v>0.91469999999999996</v>
          </cell>
        </row>
        <row r="131">
          <cell r="A131">
            <v>2.7</v>
          </cell>
          <cell r="B131">
            <v>1.0778000000000001</v>
          </cell>
          <cell r="C131">
            <v>1.0778000000000001</v>
          </cell>
          <cell r="D131">
            <v>0.97540000000000004</v>
          </cell>
          <cell r="E131">
            <v>0.97540000000000004</v>
          </cell>
          <cell r="F131">
            <v>0.97540000000000004</v>
          </cell>
          <cell r="G131">
            <v>0.97540000000000004</v>
          </cell>
          <cell r="H131">
            <v>0.97540000000000004</v>
          </cell>
          <cell r="I131">
            <v>0.90269999999999995</v>
          </cell>
          <cell r="J131">
            <v>0.90269999999999995</v>
          </cell>
          <cell r="K131">
            <v>0.90269999999999995</v>
          </cell>
          <cell r="L131">
            <v>0.90269999999999995</v>
          </cell>
          <cell r="M131">
            <v>0.90269999999999995</v>
          </cell>
        </row>
        <row r="132">
          <cell r="A132">
            <v>2.8</v>
          </cell>
          <cell r="B132">
            <v>1.0665</v>
          </cell>
          <cell r="C132">
            <v>1.0665</v>
          </cell>
          <cell r="D132">
            <v>0.96399999999999997</v>
          </cell>
          <cell r="E132">
            <v>0.96399999999999997</v>
          </cell>
          <cell r="F132">
            <v>0.96399999999999997</v>
          </cell>
          <cell r="G132">
            <v>0.96399999999999997</v>
          </cell>
          <cell r="H132">
            <v>0.96399999999999997</v>
          </cell>
          <cell r="I132">
            <v>0.89119999999999999</v>
          </cell>
          <cell r="J132">
            <v>0.89119999999999999</v>
          </cell>
          <cell r="K132">
            <v>0.89119999999999999</v>
          </cell>
          <cell r="L132">
            <v>0.89119999999999999</v>
          </cell>
          <cell r="M132">
            <v>0.89119999999999999</v>
          </cell>
        </row>
        <row r="133">
          <cell r="A133">
            <v>2.9</v>
          </cell>
          <cell r="B133">
            <v>1.0556000000000001</v>
          </cell>
          <cell r="C133">
            <v>1.0556000000000001</v>
          </cell>
          <cell r="D133">
            <v>0.95330000000000004</v>
          </cell>
          <cell r="E133">
            <v>0.95330000000000004</v>
          </cell>
          <cell r="F133">
            <v>0.95330000000000004</v>
          </cell>
          <cell r="G133">
            <v>0.95330000000000004</v>
          </cell>
          <cell r="H133">
            <v>0.95330000000000004</v>
          </cell>
          <cell r="I133">
            <v>0.88019999999999998</v>
          </cell>
          <cell r="J133">
            <v>0.88019999999999998</v>
          </cell>
          <cell r="K133">
            <v>0.88019999999999998</v>
          </cell>
          <cell r="L133">
            <v>0.88019999999999998</v>
          </cell>
          <cell r="M133">
            <v>0.88019999999999998</v>
          </cell>
        </row>
        <row r="134">
          <cell r="A134">
            <v>3</v>
          </cell>
          <cell r="B134">
            <v>1.0452999999999999</v>
          </cell>
          <cell r="C134">
            <v>1.0452999999999999</v>
          </cell>
          <cell r="D134">
            <v>0.94299999999999995</v>
          </cell>
          <cell r="E134">
            <v>0.94299999999999995</v>
          </cell>
          <cell r="F134">
            <v>0.94299999999999995</v>
          </cell>
          <cell r="G134">
            <v>0.94299999999999995</v>
          </cell>
          <cell r="H134">
            <v>0.94299999999999995</v>
          </cell>
          <cell r="I134">
            <v>0.86970000000000003</v>
          </cell>
          <cell r="J134">
            <v>0.86970000000000003</v>
          </cell>
          <cell r="K134">
            <v>0.86970000000000003</v>
          </cell>
          <cell r="L134">
            <v>0.86970000000000003</v>
          </cell>
          <cell r="M134">
            <v>0.86970000000000003</v>
          </cell>
        </row>
        <row r="135">
          <cell r="A135">
            <v>3.1</v>
          </cell>
          <cell r="B135">
            <v>1.0354000000000001</v>
          </cell>
          <cell r="C135">
            <v>1.0354000000000001</v>
          </cell>
          <cell r="D135">
            <v>0.93330000000000002</v>
          </cell>
          <cell r="E135">
            <v>0.93330000000000002</v>
          </cell>
          <cell r="F135">
            <v>0.93330000000000002</v>
          </cell>
          <cell r="G135">
            <v>0.93330000000000002</v>
          </cell>
          <cell r="H135">
            <v>0.93330000000000002</v>
          </cell>
          <cell r="I135">
            <v>0.85970000000000002</v>
          </cell>
          <cell r="J135">
            <v>0.85970000000000002</v>
          </cell>
          <cell r="K135">
            <v>0.85970000000000002</v>
          </cell>
          <cell r="L135">
            <v>0.85970000000000002</v>
          </cell>
          <cell r="M135">
            <v>0.85970000000000002</v>
          </cell>
        </row>
        <row r="136">
          <cell r="A136">
            <v>3.2</v>
          </cell>
          <cell r="B136">
            <v>1.0259</v>
          </cell>
          <cell r="C136">
            <v>1.0259</v>
          </cell>
          <cell r="D136">
            <v>0.92410000000000003</v>
          </cell>
          <cell r="E136">
            <v>0.92410000000000003</v>
          </cell>
          <cell r="F136">
            <v>0.92410000000000003</v>
          </cell>
          <cell r="G136">
            <v>0.92410000000000003</v>
          </cell>
          <cell r="H136">
            <v>0.92410000000000003</v>
          </cell>
          <cell r="I136">
            <v>0.85019999999999996</v>
          </cell>
          <cell r="J136">
            <v>0.85019999999999996</v>
          </cell>
          <cell r="K136">
            <v>0.85019999999999996</v>
          </cell>
          <cell r="L136">
            <v>0.85019999999999996</v>
          </cell>
          <cell r="M136">
            <v>0.85019999999999996</v>
          </cell>
        </row>
        <row r="137">
          <cell r="A137">
            <v>3.3</v>
          </cell>
          <cell r="B137">
            <v>1.0168999999999999</v>
          </cell>
          <cell r="C137">
            <v>1.0168999999999999</v>
          </cell>
          <cell r="D137">
            <v>0.91539999999999999</v>
          </cell>
          <cell r="E137">
            <v>0.91539999999999999</v>
          </cell>
          <cell r="F137">
            <v>0.91539999999999999</v>
          </cell>
          <cell r="G137">
            <v>0.91539999999999999</v>
          </cell>
          <cell r="H137">
            <v>0.91539999999999999</v>
          </cell>
          <cell r="I137">
            <v>0.84109999999999996</v>
          </cell>
          <cell r="J137">
            <v>0.84109999999999996</v>
          </cell>
          <cell r="K137">
            <v>0.84109999999999996</v>
          </cell>
          <cell r="L137">
            <v>0.84109999999999996</v>
          </cell>
          <cell r="M137">
            <v>0.84109999999999996</v>
          </cell>
        </row>
        <row r="138">
          <cell r="A138">
            <v>3.4</v>
          </cell>
          <cell r="B138">
            <v>1.0082</v>
          </cell>
          <cell r="C138">
            <v>1.0082</v>
          </cell>
          <cell r="D138">
            <v>0.90710000000000002</v>
          </cell>
          <cell r="E138">
            <v>0.90710000000000002</v>
          </cell>
          <cell r="F138">
            <v>0.90710000000000002</v>
          </cell>
          <cell r="G138">
            <v>0.90710000000000002</v>
          </cell>
          <cell r="H138">
            <v>0.90710000000000002</v>
          </cell>
          <cell r="I138">
            <v>0.83240000000000003</v>
          </cell>
          <cell r="J138">
            <v>0.83240000000000003</v>
          </cell>
          <cell r="K138">
            <v>0.83240000000000003</v>
          </cell>
          <cell r="L138">
            <v>0.83240000000000003</v>
          </cell>
          <cell r="M138">
            <v>0.83240000000000003</v>
          </cell>
        </row>
        <row r="139">
          <cell r="A139">
            <v>3.5</v>
          </cell>
          <cell r="B139">
            <v>1</v>
          </cell>
          <cell r="C139">
            <v>1</v>
          </cell>
          <cell r="D139">
            <v>0.89929999999999999</v>
          </cell>
          <cell r="E139">
            <v>0.89929999999999999</v>
          </cell>
          <cell r="F139">
            <v>0.89929999999999999</v>
          </cell>
          <cell r="G139">
            <v>0.89929999999999999</v>
          </cell>
          <cell r="H139">
            <v>0.89929999999999999</v>
          </cell>
          <cell r="I139">
            <v>0.82410000000000005</v>
          </cell>
          <cell r="J139">
            <v>0.82410000000000005</v>
          </cell>
          <cell r="K139">
            <v>0.82410000000000005</v>
          </cell>
          <cell r="L139">
            <v>0.82410000000000005</v>
          </cell>
          <cell r="M139">
            <v>0.82410000000000005</v>
          </cell>
        </row>
        <row r="140">
          <cell r="A140">
            <v>3.6</v>
          </cell>
          <cell r="B140">
            <v>0.99219999999999997</v>
          </cell>
          <cell r="C140">
            <v>0.99219999999999997</v>
          </cell>
          <cell r="D140">
            <v>0.89190000000000003</v>
          </cell>
          <cell r="E140">
            <v>0.89190000000000003</v>
          </cell>
          <cell r="F140">
            <v>0.89190000000000003</v>
          </cell>
          <cell r="G140">
            <v>0.89190000000000003</v>
          </cell>
          <cell r="H140">
            <v>0.89190000000000003</v>
          </cell>
          <cell r="I140">
            <v>0.81620000000000004</v>
          </cell>
          <cell r="J140">
            <v>0.81620000000000004</v>
          </cell>
          <cell r="K140">
            <v>0.81620000000000004</v>
          </cell>
          <cell r="L140">
            <v>0.81620000000000004</v>
          </cell>
          <cell r="M140">
            <v>0.81620000000000004</v>
          </cell>
        </row>
        <row r="141">
          <cell r="A141">
            <v>3.7</v>
          </cell>
          <cell r="B141">
            <v>0.98480000000000001</v>
          </cell>
          <cell r="C141">
            <v>0.98480000000000001</v>
          </cell>
          <cell r="D141">
            <v>0.88480000000000003</v>
          </cell>
          <cell r="E141">
            <v>0.88480000000000003</v>
          </cell>
          <cell r="F141">
            <v>0.88480000000000003</v>
          </cell>
          <cell r="G141">
            <v>0.88480000000000003</v>
          </cell>
          <cell r="H141">
            <v>0.88480000000000003</v>
          </cell>
          <cell r="I141">
            <v>0.80869999999999997</v>
          </cell>
          <cell r="J141">
            <v>0.80869999999999997</v>
          </cell>
          <cell r="K141">
            <v>0.80869999999999997</v>
          </cell>
          <cell r="L141">
            <v>0.80869999999999997</v>
          </cell>
          <cell r="M141">
            <v>0.80869999999999997</v>
          </cell>
        </row>
        <row r="142">
          <cell r="A142">
            <v>3.8</v>
          </cell>
          <cell r="B142">
            <v>0.9778</v>
          </cell>
          <cell r="C142">
            <v>0.9778</v>
          </cell>
          <cell r="D142">
            <v>0.87809999999999999</v>
          </cell>
          <cell r="E142">
            <v>0.87809999999999999</v>
          </cell>
          <cell r="F142">
            <v>0.87809999999999999</v>
          </cell>
          <cell r="G142">
            <v>0.87809999999999999</v>
          </cell>
          <cell r="H142">
            <v>0.87809999999999999</v>
          </cell>
          <cell r="I142">
            <v>0.80159999999999998</v>
          </cell>
          <cell r="J142">
            <v>0.80159999999999998</v>
          </cell>
          <cell r="K142">
            <v>0.80159999999999998</v>
          </cell>
          <cell r="L142">
            <v>0.80159999999999998</v>
          </cell>
          <cell r="M142">
            <v>0.80159999999999998</v>
          </cell>
        </row>
        <row r="143">
          <cell r="A143">
            <v>3.9</v>
          </cell>
          <cell r="B143">
            <v>0.97119999999999995</v>
          </cell>
          <cell r="C143">
            <v>0.97119999999999995</v>
          </cell>
          <cell r="D143">
            <v>0.87180000000000002</v>
          </cell>
          <cell r="E143">
            <v>0.87180000000000002</v>
          </cell>
          <cell r="F143">
            <v>0.87180000000000002</v>
          </cell>
          <cell r="G143">
            <v>0.87180000000000002</v>
          </cell>
          <cell r="H143">
            <v>0.87180000000000002</v>
          </cell>
          <cell r="I143">
            <v>0.79479999999999995</v>
          </cell>
          <cell r="J143">
            <v>0.79479999999999995</v>
          </cell>
          <cell r="K143">
            <v>0.79479999999999995</v>
          </cell>
          <cell r="L143">
            <v>0.79479999999999995</v>
          </cell>
          <cell r="M143">
            <v>0.79479999999999995</v>
          </cell>
        </row>
        <row r="144">
          <cell r="A144">
            <v>4</v>
          </cell>
          <cell r="B144">
            <v>0.96499999999999997</v>
          </cell>
          <cell r="C144">
            <v>0.96499999999999997</v>
          </cell>
          <cell r="D144">
            <v>0.86580000000000001</v>
          </cell>
          <cell r="E144">
            <v>0.86580000000000001</v>
          </cell>
          <cell r="F144">
            <v>0.86580000000000001</v>
          </cell>
          <cell r="G144">
            <v>0.86580000000000001</v>
          </cell>
          <cell r="H144">
            <v>0.86580000000000001</v>
          </cell>
          <cell r="I144">
            <v>0.7883</v>
          </cell>
          <cell r="J144">
            <v>0.7883</v>
          </cell>
          <cell r="K144">
            <v>0.7883</v>
          </cell>
          <cell r="L144">
            <v>0.7883</v>
          </cell>
          <cell r="M144">
            <v>0.7883</v>
          </cell>
        </row>
        <row r="145">
          <cell r="A145">
            <v>4.0999999999999996</v>
          </cell>
          <cell r="B145">
            <v>0.95909999999999995</v>
          </cell>
          <cell r="C145">
            <v>0.95909999999999995</v>
          </cell>
          <cell r="D145">
            <v>0.86009999999999998</v>
          </cell>
          <cell r="E145">
            <v>0.86009999999999998</v>
          </cell>
          <cell r="F145">
            <v>0.86009999999999998</v>
          </cell>
          <cell r="G145">
            <v>0.86009999999999998</v>
          </cell>
          <cell r="H145">
            <v>0.86009999999999998</v>
          </cell>
          <cell r="I145">
            <v>0.78200000000000003</v>
          </cell>
          <cell r="J145">
            <v>0.78200000000000003</v>
          </cell>
          <cell r="K145">
            <v>0.78200000000000003</v>
          </cell>
          <cell r="L145">
            <v>0.78200000000000003</v>
          </cell>
          <cell r="M145">
            <v>0.78200000000000003</v>
          </cell>
        </row>
        <row r="146">
          <cell r="A146">
            <v>4.2</v>
          </cell>
          <cell r="B146">
            <v>0.95350000000000001</v>
          </cell>
          <cell r="C146">
            <v>0.95350000000000001</v>
          </cell>
          <cell r="D146">
            <v>0.85470000000000002</v>
          </cell>
          <cell r="E146">
            <v>0.85470000000000002</v>
          </cell>
          <cell r="F146">
            <v>0.85470000000000002</v>
          </cell>
          <cell r="G146">
            <v>0.85470000000000002</v>
          </cell>
          <cell r="H146">
            <v>0.85470000000000002</v>
          </cell>
          <cell r="I146">
            <v>0.77600000000000002</v>
          </cell>
          <cell r="J146">
            <v>0.77600000000000002</v>
          </cell>
          <cell r="K146">
            <v>0.77600000000000002</v>
          </cell>
          <cell r="L146">
            <v>0.77600000000000002</v>
          </cell>
          <cell r="M146">
            <v>0.77600000000000002</v>
          </cell>
        </row>
        <row r="147">
          <cell r="A147">
            <v>4.3</v>
          </cell>
          <cell r="B147">
            <v>0.94820000000000004</v>
          </cell>
          <cell r="C147">
            <v>0.94820000000000004</v>
          </cell>
          <cell r="D147">
            <v>0.84960000000000002</v>
          </cell>
          <cell r="E147">
            <v>0.84960000000000002</v>
          </cell>
          <cell r="F147">
            <v>0.84960000000000002</v>
          </cell>
          <cell r="G147">
            <v>0.84960000000000002</v>
          </cell>
          <cell r="H147">
            <v>0.84960000000000002</v>
          </cell>
          <cell r="I147">
            <v>0.77029999999999998</v>
          </cell>
          <cell r="J147">
            <v>0.77029999999999998</v>
          </cell>
          <cell r="K147">
            <v>0.77029999999999998</v>
          </cell>
          <cell r="L147">
            <v>0.77029999999999998</v>
          </cell>
          <cell r="M147">
            <v>0.77029999999999998</v>
          </cell>
        </row>
        <row r="148">
          <cell r="A148">
            <v>4.4000000000000004</v>
          </cell>
          <cell r="B148">
            <v>0.94320000000000004</v>
          </cell>
          <cell r="C148">
            <v>0.94320000000000004</v>
          </cell>
          <cell r="D148">
            <v>0.8448</v>
          </cell>
          <cell r="E148">
            <v>0.8448</v>
          </cell>
          <cell r="F148">
            <v>0.8448</v>
          </cell>
          <cell r="G148">
            <v>0.8448</v>
          </cell>
          <cell r="H148">
            <v>0.8448</v>
          </cell>
          <cell r="I148">
            <v>0.76490000000000002</v>
          </cell>
          <cell r="J148">
            <v>0.76490000000000002</v>
          </cell>
          <cell r="K148">
            <v>0.76490000000000002</v>
          </cell>
          <cell r="L148">
            <v>0.76490000000000002</v>
          </cell>
          <cell r="M148">
            <v>0.76490000000000002</v>
          </cell>
        </row>
        <row r="149">
          <cell r="A149">
            <v>4.5</v>
          </cell>
          <cell r="B149">
            <v>0.9385</v>
          </cell>
          <cell r="C149">
            <v>0.9385</v>
          </cell>
          <cell r="D149">
            <v>0.84019999999999995</v>
          </cell>
          <cell r="E149">
            <v>0.84019999999999995</v>
          </cell>
          <cell r="F149">
            <v>0.84019999999999995</v>
          </cell>
          <cell r="G149">
            <v>0.84019999999999995</v>
          </cell>
          <cell r="H149">
            <v>0.84019999999999995</v>
          </cell>
          <cell r="I149">
            <v>0.75970000000000004</v>
          </cell>
          <cell r="J149">
            <v>0.75970000000000004</v>
          </cell>
          <cell r="K149">
            <v>0.75970000000000004</v>
          </cell>
          <cell r="L149">
            <v>0.75970000000000004</v>
          </cell>
          <cell r="M149">
            <v>0.75970000000000004</v>
          </cell>
        </row>
        <row r="150">
          <cell r="A150">
            <v>4.5999999999999996</v>
          </cell>
          <cell r="B150">
            <v>0.93410000000000004</v>
          </cell>
          <cell r="C150">
            <v>0.93410000000000004</v>
          </cell>
          <cell r="D150">
            <v>0.83579999999999999</v>
          </cell>
          <cell r="E150">
            <v>0.83579999999999999</v>
          </cell>
          <cell r="F150">
            <v>0.83579999999999999</v>
          </cell>
          <cell r="G150">
            <v>0.83579999999999999</v>
          </cell>
          <cell r="H150">
            <v>0.83579999999999999</v>
          </cell>
          <cell r="I150">
            <v>0.75470000000000004</v>
          </cell>
          <cell r="J150">
            <v>0.75470000000000004</v>
          </cell>
          <cell r="K150">
            <v>0.75470000000000004</v>
          </cell>
          <cell r="L150">
            <v>0.75470000000000004</v>
          </cell>
          <cell r="M150">
            <v>0.75470000000000004</v>
          </cell>
        </row>
        <row r="151">
          <cell r="A151">
            <v>4.7</v>
          </cell>
          <cell r="B151">
            <v>0.92989999999999995</v>
          </cell>
          <cell r="C151">
            <v>0.92989999999999995</v>
          </cell>
          <cell r="D151">
            <v>0.83160000000000001</v>
          </cell>
          <cell r="E151">
            <v>0.83160000000000001</v>
          </cell>
          <cell r="F151">
            <v>0.83160000000000001</v>
          </cell>
          <cell r="G151">
            <v>0.83160000000000001</v>
          </cell>
          <cell r="H151">
            <v>0.83160000000000001</v>
          </cell>
          <cell r="I151">
            <v>0.74990000000000001</v>
          </cell>
          <cell r="J151">
            <v>0.74990000000000001</v>
          </cell>
          <cell r="K151">
            <v>0.74990000000000001</v>
          </cell>
          <cell r="L151">
            <v>0.74990000000000001</v>
          </cell>
          <cell r="M151">
            <v>0.74990000000000001</v>
          </cell>
        </row>
        <row r="152">
          <cell r="A152">
            <v>4.8</v>
          </cell>
          <cell r="B152">
            <v>0.92589999999999995</v>
          </cell>
          <cell r="C152">
            <v>0.92589999999999995</v>
          </cell>
          <cell r="D152">
            <v>0.82769999999999999</v>
          </cell>
          <cell r="E152">
            <v>0.82769999999999999</v>
          </cell>
          <cell r="F152">
            <v>0.82769999999999999</v>
          </cell>
          <cell r="G152">
            <v>0.82769999999999999</v>
          </cell>
          <cell r="H152">
            <v>0.82769999999999999</v>
          </cell>
          <cell r="I152">
            <v>0.74529999999999996</v>
          </cell>
          <cell r="J152">
            <v>0.74529999999999996</v>
          </cell>
          <cell r="K152">
            <v>0.74529999999999996</v>
          </cell>
          <cell r="L152">
            <v>0.74529999999999996</v>
          </cell>
          <cell r="M152">
            <v>0.74529999999999996</v>
          </cell>
        </row>
        <row r="153">
          <cell r="A153">
            <v>4.9000000000000004</v>
          </cell>
          <cell r="B153">
            <v>0.92210000000000003</v>
          </cell>
          <cell r="C153">
            <v>0.92210000000000003</v>
          </cell>
          <cell r="D153">
            <v>0.82389999999999997</v>
          </cell>
          <cell r="E153">
            <v>0.82389999999999997</v>
          </cell>
          <cell r="F153">
            <v>0.82389999999999997</v>
          </cell>
          <cell r="G153">
            <v>0.82389999999999997</v>
          </cell>
          <cell r="H153">
            <v>0.82389999999999997</v>
          </cell>
          <cell r="I153">
            <v>0.7409</v>
          </cell>
          <cell r="J153">
            <v>0.7409</v>
          </cell>
          <cell r="K153">
            <v>0.7409</v>
          </cell>
          <cell r="L153">
            <v>0.7409</v>
          </cell>
          <cell r="M153">
            <v>0.7409</v>
          </cell>
        </row>
        <row r="154">
          <cell r="A154">
            <v>5</v>
          </cell>
          <cell r="B154">
            <v>0.91849999999999998</v>
          </cell>
          <cell r="C154">
            <v>0.91849999999999998</v>
          </cell>
          <cell r="D154">
            <v>0.82030000000000003</v>
          </cell>
          <cell r="E154">
            <v>0.82030000000000003</v>
          </cell>
          <cell r="F154">
            <v>0.82030000000000003</v>
          </cell>
          <cell r="G154">
            <v>0.82030000000000003</v>
          </cell>
          <cell r="H154">
            <v>0.82030000000000003</v>
          </cell>
          <cell r="I154">
            <v>0.73670000000000002</v>
          </cell>
          <cell r="J154">
            <v>0.73670000000000002</v>
          </cell>
          <cell r="K154">
            <v>0.73670000000000002</v>
          </cell>
          <cell r="L154">
            <v>0.73670000000000002</v>
          </cell>
          <cell r="M154">
            <v>0.73670000000000002</v>
          </cell>
        </row>
        <row r="155">
          <cell r="A155">
            <v>5.0999999999999996</v>
          </cell>
          <cell r="B155">
            <v>0.91510000000000002</v>
          </cell>
          <cell r="C155">
            <v>0.91510000000000002</v>
          </cell>
          <cell r="D155">
            <v>0.81689999999999996</v>
          </cell>
          <cell r="E155">
            <v>0.81689999999999996</v>
          </cell>
          <cell r="F155">
            <v>0.81689999999999996</v>
          </cell>
          <cell r="G155">
            <v>0.81689999999999996</v>
          </cell>
          <cell r="H155">
            <v>0.81689999999999996</v>
          </cell>
          <cell r="I155">
            <v>0.73270000000000002</v>
          </cell>
          <cell r="J155">
            <v>0.73270000000000002</v>
          </cell>
          <cell r="K155">
            <v>0.73270000000000002</v>
          </cell>
          <cell r="L155">
            <v>0.73270000000000002</v>
          </cell>
          <cell r="M155">
            <v>0.73270000000000002</v>
          </cell>
        </row>
        <row r="156">
          <cell r="A156">
            <v>5.2</v>
          </cell>
          <cell r="B156">
            <v>0.91190000000000004</v>
          </cell>
          <cell r="C156">
            <v>0.91190000000000004</v>
          </cell>
          <cell r="D156">
            <v>0.81359999999999999</v>
          </cell>
          <cell r="E156">
            <v>0.81359999999999999</v>
          </cell>
          <cell r="F156">
            <v>0.81359999999999999</v>
          </cell>
          <cell r="G156">
            <v>0.81359999999999999</v>
          </cell>
          <cell r="H156">
            <v>0.81359999999999999</v>
          </cell>
          <cell r="I156">
            <v>0.72889999999999999</v>
          </cell>
          <cell r="J156">
            <v>0.72889999999999999</v>
          </cell>
          <cell r="K156">
            <v>0.72889999999999999</v>
          </cell>
          <cell r="L156">
            <v>0.72889999999999999</v>
          </cell>
          <cell r="M156">
            <v>0.72889999999999999</v>
          </cell>
        </row>
        <row r="157">
          <cell r="A157">
            <v>5.3</v>
          </cell>
          <cell r="B157">
            <v>0.90880000000000005</v>
          </cell>
          <cell r="C157">
            <v>0.90880000000000005</v>
          </cell>
          <cell r="D157">
            <v>0.8105</v>
          </cell>
          <cell r="E157">
            <v>0.8105</v>
          </cell>
          <cell r="F157">
            <v>0.8105</v>
          </cell>
          <cell r="G157">
            <v>0.8105</v>
          </cell>
          <cell r="H157">
            <v>0.8105</v>
          </cell>
          <cell r="I157">
            <v>0.72529999999999994</v>
          </cell>
          <cell r="J157">
            <v>0.72529999999999994</v>
          </cell>
          <cell r="K157">
            <v>0.72529999999999994</v>
          </cell>
          <cell r="L157">
            <v>0.72529999999999994</v>
          </cell>
          <cell r="M157">
            <v>0.72529999999999994</v>
          </cell>
        </row>
        <row r="158">
          <cell r="A158">
            <v>5.4</v>
          </cell>
          <cell r="B158">
            <v>0.90580000000000005</v>
          </cell>
          <cell r="C158">
            <v>0.90580000000000005</v>
          </cell>
          <cell r="D158">
            <v>0.8075</v>
          </cell>
          <cell r="E158">
            <v>0.8075</v>
          </cell>
          <cell r="F158">
            <v>0.8075</v>
          </cell>
          <cell r="G158">
            <v>0.8075</v>
          </cell>
          <cell r="H158">
            <v>0.8075</v>
          </cell>
          <cell r="I158">
            <v>0.7218</v>
          </cell>
          <cell r="J158">
            <v>0.7218</v>
          </cell>
          <cell r="K158">
            <v>0.7218</v>
          </cell>
          <cell r="L158">
            <v>0.7218</v>
          </cell>
          <cell r="M158">
            <v>0.7218</v>
          </cell>
        </row>
        <row r="159">
          <cell r="A159">
            <v>5.5</v>
          </cell>
          <cell r="B159">
            <v>0.90290000000000004</v>
          </cell>
          <cell r="C159">
            <v>0.90290000000000004</v>
          </cell>
          <cell r="D159">
            <v>0.80469999999999997</v>
          </cell>
          <cell r="E159">
            <v>0.80469999999999997</v>
          </cell>
          <cell r="F159">
            <v>0.80469999999999997</v>
          </cell>
          <cell r="G159">
            <v>0.80469999999999997</v>
          </cell>
          <cell r="H159">
            <v>0.80469999999999997</v>
          </cell>
          <cell r="I159">
            <v>0.71840000000000004</v>
          </cell>
          <cell r="J159">
            <v>0.71840000000000004</v>
          </cell>
          <cell r="K159">
            <v>0.71840000000000004</v>
          </cell>
          <cell r="L159">
            <v>0.71840000000000004</v>
          </cell>
          <cell r="M159">
            <v>0.71840000000000004</v>
          </cell>
        </row>
        <row r="160">
          <cell r="A160">
            <v>5.6</v>
          </cell>
          <cell r="B160">
            <v>0.90010000000000001</v>
          </cell>
          <cell r="C160">
            <v>0.90010000000000001</v>
          </cell>
          <cell r="D160">
            <v>0.80200000000000005</v>
          </cell>
          <cell r="E160">
            <v>0.80200000000000005</v>
          </cell>
          <cell r="F160">
            <v>0.80200000000000005</v>
          </cell>
          <cell r="G160">
            <v>0.80200000000000005</v>
          </cell>
          <cell r="H160">
            <v>0.80200000000000005</v>
          </cell>
          <cell r="I160">
            <v>0.71509999999999996</v>
          </cell>
          <cell r="J160">
            <v>0.71509999999999996</v>
          </cell>
          <cell r="K160">
            <v>0.71509999999999996</v>
          </cell>
          <cell r="L160">
            <v>0.71509999999999996</v>
          </cell>
          <cell r="M160">
            <v>0.71509999999999996</v>
          </cell>
        </row>
        <row r="161">
          <cell r="A161">
            <v>5.7</v>
          </cell>
          <cell r="B161">
            <v>0.89749999999999996</v>
          </cell>
          <cell r="C161">
            <v>0.89749999999999996</v>
          </cell>
          <cell r="D161">
            <v>0.79930000000000001</v>
          </cell>
          <cell r="E161">
            <v>0.79930000000000001</v>
          </cell>
          <cell r="F161">
            <v>0.79930000000000001</v>
          </cell>
          <cell r="G161">
            <v>0.79930000000000001</v>
          </cell>
          <cell r="H161">
            <v>0.79930000000000001</v>
          </cell>
          <cell r="I161">
            <v>0.71189999999999998</v>
          </cell>
          <cell r="J161">
            <v>0.71189999999999998</v>
          </cell>
          <cell r="K161">
            <v>0.71189999999999998</v>
          </cell>
          <cell r="L161">
            <v>0.71189999999999998</v>
          </cell>
          <cell r="M161">
            <v>0.71189999999999998</v>
          </cell>
        </row>
        <row r="162">
          <cell r="A162">
            <v>5.8</v>
          </cell>
          <cell r="B162">
            <v>0.89500000000000002</v>
          </cell>
          <cell r="C162">
            <v>0.89500000000000002</v>
          </cell>
          <cell r="D162">
            <v>0.79679999999999995</v>
          </cell>
          <cell r="E162">
            <v>0.79679999999999995</v>
          </cell>
          <cell r="F162">
            <v>0.79679999999999995</v>
          </cell>
          <cell r="G162">
            <v>0.79679999999999995</v>
          </cell>
          <cell r="H162">
            <v>0.79679999999999995</v>
          </cell>
          <cell r="I162">
            <v>0.70879999999999999</v>
          </cell>
          <cell r="J162">
            <v>0.70879999999999999</v>
          </cell>
          <cell r="K162">
            <v>0.70879999999999999</v>
          </cell>
          <cell r="L162">
            <v>0.70879999999999999</v>
          </cell>
          <cell r="M162">
            <v>0.70879999999999999</v>
          </cell>
        </row>
        <row r="163">
          <cell r="A163">
            <v>5.9</v>
          </cell>
          <cell r="B163">
            <v>0.89259999999999995</v>
          </cell>
          <cell r="C163">
            <v>0.89259999999999995</v>
          </cell>
          <cell r="D163">
            <v>0.7944</v>
          </cell>
          <cell r="E163">
            <v>0.7944</v>
          </cell>
          <cell r="F163">
            <v>0.7944</v>
          </cell>
          <cell r="G163">
            <v>0.7944</v>
          </cell>
          <cell r="H163">
            <v>0.7944</v>
          </cell>
          <cell r="I163">
            <v>0.70579999999999998</v>
          </cell>
          <cell r="J163">
            <v>0.70579999999999998</v>
          </cell>
          <cell r="K163">
            <v>0.70579999999999998</v>
          </cell>
          <cell r="L163">
            <v>0.70579999999999998</v>
          </cell>
          <cell r="M163">
            <v>0.70579999999999998</v>
          </cell>
        </row>
        <row r="164">
          <cell r="A164">
            <v>6</v>
          </cell>
          <cell r="B164">
            <v>0.89029999999999998</v>
          </cell>
          <cell r="C164">
            <v>0.89029999999999998</v>
          </cell>
          <cell r="D164">
            <v>0.79200000000000004</v>
          </cell>
          <cell r="E164">
            <v>0.79200000000000004</v>
          </cell>
          <cell r="F164">
            <v>0.79200000000000004</v>
          </cell>
          <cell r="G164">
            <v>0.79200000000000004</v>
          </cell>
          <cell r="H164">
            <v>0.79200000000000004</v>
          </cell>
          <cell r="I164">
            <v>0.70289999999999997</v>
          </cell>
          <cell r="J164">
            <v>0.70289999999999997</v>
          </cell>
          <cell r="K164">
            <v>0.70289999999999997</v>
          </cell>
          <cell r="L164">
            <v>0.70289999999999997</v>
          </cell>
          <cell r="M164">
            <v>0.70289999999999997</v>
          </cell>
        </row>
        <row r="165">
          <cell r="A165">
            <v>6.1</v>
          </cell>
          <cell r="B165">
            <v>0.8881</v>
          </cell>
          <cell r="C165">
            <v>0.8881</v>
          </cell>
          <cell r="D165">
            <v>0.78979999999999995</v>
          </cell>
          <cell r="E165">
            <v>0.78979999999999995</v>
          </cell>
          <cell r="F165">
            <v>0.78979999999999995</v>
          </cell>
          <cell r="G165">
            <v>0.78979999999999995</v>
          </cell>
          <cell r="H165">
            <v>0.78979999999999995</v>
          </cell>
          <cell r="I165">
            <v>0.70009999999999994</v>
          </cell>
          <cell r="J165">
            <v>0.70009999999999994</v>
          </cell>
          <cell r="K165">
            <v>0.70009999999999994</v>
          </cell>
          <cell r="L165">
            <v>0.70009999999999994</v>
          </cell>
          <cell r="M165">
            <v>0.70009999999999994</v>
          </cell>
        </row>
        <row r="166">
          <cell r="A166">
            <v>6.2</v>
          </cell>
          <cell r="B166">
            <v>0.88600000000000001</v>
          </cell>
          <cell r="C166">
            <v>0.88600000000000001</v>
          </cell>
          <cell r="D166">
            <v>0.78759999999999997</v>
          </cell>
          <cell r="E166">
            <v>0.78759999999999997</v>
          </cell>
          <cell r="F166">
            <v>0.78759999999999997</v>
          </cell>
          <cell r="G166">
            <v>0.78759999999999997</v>
          </cell>
          <cell r="H166">
            <v>0.78759999999999997</v>
          </cell>
          <cell r="I166">
            <v>0.69740000000000002</v>
          </cell>
          <cell r="J166">
            <v>0.69740000000000002</v>
          </cell>
          <cell r="K166">
            <v>0.69740000000000002</v>
          </cell>
          <cell r="L166">
            <v>0.69740000000000002</v>
          </cell>
          <cell r="M166">
            <v>0.69740000000000002</v>
          </cell>
        </row>
        <row r="167">
          <cell r="A167">
            <v>6.3</v>
          </cell>
          <cell r="B167">
            <v>0.88390000000000002</v>
          </cell>
          <cell r="C167">
            <v>0.88390000000000002</v>
          </cell>
          <cell r="D167">
            <v>0.78549999999999998</v>
          </cell>
          <cell r="E167">
            <v>0.78549999999999998</v>
          </cell>
          <cell r="F167">
            <v>0.78549999999999998</v>
          </cell>
          <cell r="G167">
            <v>0.78549999999999998</v>
          </cell>
          <cell r="H167">
            <v>0.78549999999999998</v>
          </cell>
          <cell r="I167">
            <v>0.69479999999999997</v>
          </cell>
          <cell r="J167">
            <v>0.69479999999999997</v>
          </cell>
          <cell r="K167">
            <v>0.69479999999999997</v>
          </cell>
          <cell r="L167">
            <v>0.69479999999999997</v>
          </cell>
          <cell r="M167">
            <v>0.69479999999999997</v>
          </cell>
        </row>
        <row r="168">
          <cell r="A168">
            <v>6.4</v>
          </cell>
          <cell r="B168">
            <v>0.88190000000000002</v>
          </cell>
          <cell r="C168">
            <v>0.88190000000000002</v>
          </cell>
          <cell r="D168">
            <v>0.78339999999999999</v>
          </cell>
          <cell r="E168">
            <v>0.78339999999999999</v>
          </cell>
          <cell r="F168">
            <v>0.78339999999999999</v>
          </cell>
          <cell r="G168">
            <v>0.78339999999999999</v>
          </cell>
          <cell r="H168">
            <v>0.78339999999999999</v>
          </cell>
          <cell r="I168">
            <v>0.69230000000000003</v>
          </cell>
          <cell r="J168">
            <v>0.69230000000000003</v>
          </cell>
          <cell r="K168">
            <v>0.69230000000000003</v>
          </cell>
          <cell r="L168">
            <v>0.69230000000000003</v>
          </cell>
          <cell r="M168">
            <v>0.69230000000000003</v>
          </cell>
        </row>
        <row r="169">
          <cell r="A169">
            <v>6.5</v>
          </cell>
          <cell r="B169">
            <v>0.88</v>
          </cell>
          <cell r="C169">
            <v>0.88</v>
          </cell>
          <cell r="D169">
            <v>0.78139999999999998</v>
          </cell>
          <cell r="E169">
            <v>0.78139999999999998</v>
          </cell>
          <cell r="F169">
            <v>0.78139999999999998</v>
          </cell>
          <cell r="G169">
            <v>0.78139999999999998</v>
          </cell>
          <cell r="H169">
            <v>0.78139999999999998</v>
          </cell>
          <cell r="I169">
            <v>0.68989999999999996</v>
          </cell>
          <cell r="J169">
            <v>0.68989999999999996</v>
          </cell>
          <cell r="K169">
            <v>0.68989999999999996</v>
          </cell>
          <cell r="L169">
            <v>0.68989999999999996</v>
          </cell>
          <cell r="M169">
            <v>0.68989999999999996</v>
          </cell>
        </row>
        <row r="170">
          <cell r="A170">
            <v>6.6</v>
          </cell>
          <cell r="B170">
            <v>0.87809999999999999</v>
          </cell>
          <cell r="C170">
            <v>0.87809999999999999</v>
          </cell>
          <cell r="D170">
            <v>0.77949999999999997</v>
          </cell>
          <cell r="E170">
            <v>0.77949999999999997</v>
          </cell>
          <cell r="F170">
            <v>0.77949999999999997</v>
          </cell>
          <cell r="G170">
            <v>0.77949999999999997</v>
          </cell>
          <cell r="H170">
            <v>0.77949999999999997</v>
          </cell>
          <cell r="I170">
            <v>0.68759999999999999</v>
          </cell>
          <cell r="J170">
            <v>0.68759999999999999</v>
          </cell>
          <cell r="K170">
            <v>0.68759999999999999</v>
          </cell>
          <cell r="L170">
            <v>0.68759999999999999</v>
          </cell>
          <cell r="M170">
            <v>0.68759999999999999</v>
          </cell>
        </row>
        <row r="171">
          <cell r="A171">
            <v>6.7</v>
          </cell>
          <cell r="B171">
            <v>0.87629999999999997</v>
          </cell>
          <cell r="C171">
            <v>0.87629999999999997</v>
          </cell>
          <cell r="D171">
            <v>0.77759999999999996</v>
          </cell>
          <cell r="E171">
            <v>0.77759999999999996</v>
          </cell>
          <cell r="F171">
            <v>0.77759999999999996</v>
          </cell>
          <cell r="G171">
            <v>0.77759999999999996</v>
          </cell>
          <cell r="H171">
            <v>0.77759999999999996</v>
          </cell>
          <cell r="I171">
            <v>0.68530000000000002</v>
          </cell>
          <cell r="J171">
            <v>0.68530000000000002</v>
          </cell>
          <cell r="K171">
            <v>0.68530000000000002</v>
          </cell>
          <cell r="L171">
            <v>0.68530000000000002</v>
          </cell>
          <cell r="M171">
            <v>0.68530000000000002</v>
          </cell>
        </row>
        <row r="172">
          <cell r="A172">
            <v>6.8</v>
          </cell>
          <cell r="B172">
            <v>0.87450000000000006</v>
          </cell>
          <cell r="C172">
            <v>0.87450000000000006</v>
          </cell>
          <cell r="D172">
            <v>0.77569999999999995</v>
          </cell>
          <cell r="E172">
            <v>0.77569999999999995</v>
          </cell>
          <cell r="F172">
            <v>0.77569999999999995</v>
          </cell>
          <cell r="G172">
            <v>0.77569999999999995</v>
          </cell>
          <cell r="H172">
            <v>0.77569999999999995</v>
          </cell>
          <cell r="I172">
            <v>0.68310000000000004</v>
          </cell>
          <cell r="J172">
            <v>0.68310000000000004</v>
          </cell>
          <cell r="K172">
            <v>0.68310000000000004</v>
          </cell>
          <cell r="L172">
            <v>0.68310000000000004</v>
          </cell>
          <cell r="M172">
            <v>0.68310000000000004</v>
          </cell>
        </row>
        <row r="173">
          <cell r="A173">
            <v>6.9</v>
          </cell>
          <cell r="B173">
            <v>0.87280000000000002</v>
          </cell>
          <cell r="C173">
            <v>0.87280000000000002</v>
          </cell>
          <cell r="D173">
            <v>0.77390000000000003</v>
          </cell>
          <cell r="E173">
            <v>0.77390000000000003</v>
          </cell>
          <cell r="F173">
            <v>0.77390000000000003</v>
          </cell>
          <cell r="G173">
            <v>0.77390000000000003</v>
          </cell>
          <cell r="H173">
            <v>0.77390000000000003</v>
          </cell>
          <cell r="I173">
            <v>0.68089999999999995</v>
          </cell>
          <cell r="J173">
            <v>0.68089999999999995</v>
          </cell>
          <cell r="K173">
            <v>0.68089999999999995</v>
          </cell>
          <cell r="L173">
            <v>0.68089999999999995</v>
          </cell>
          <cell r="M173">
            <v>0.68089999999999995</v>
          </cell>
        </row>
        <row r="174">
          <cell r="A174">
            <v>7</v>
          </cell>
          <cell r="B174">
            <v>0.87109999999999999</v>
          </cell>
          <cell r="C174">
            <v>0.87109999999999999</v>
          </cell>
          <cell r="D174">
            <v>0.77210000000000001</v>
          </cell>
          <cell r="E174">
            <v>0.77210000000000001</v>
          </cell>
          <cell r="F174">
            <v>0.77210000000000001</v>
          </cell>
          <cell r="G174">
            <v>0.77210000000000001</v>
          </cell>
          <cell r="H174">
            <v>0.77210000000000001</v>
          </cell>
          <cell r="I174">
            <v>0.67879999999999996</v>
          </cell>
          <cell r="J174">
            <v>0.67879999999999996</v>
          </cell>
          <cell r="K174">
            <v>0.67879999999999996</v>
          </cell>
          <cell r="L174">
            <v>0.67879999999999996</v>
          </cell>
          <cell r="M174">
            <v>0.67879999999999996</v>
          </cell>
        </row>
        <row r="175">
          <cell r="A175">
            <v>7.1</v>
          </cell>
          <cell r="B175">
            <v>0.86939999999999995</v>
          </cell>
          <cell r="C175">
            <v>0.86939999999999995</v>
          </cell>
          <cell r="D175">
            <v>0.77039999999999997</v>
          </cell>
          <cell r="E175">
            <v>0.77039999999999997</v>
          </cell>
          <cell r="F175">
            <v>0.77039999999999997</v>
          </cell>
          <cell r="G175">
            <v>0.77039999999999997</v>
          </cell>
          <cell r="H175">
            <v>0.77039999999999997</v>
          </cell>
          <cell r="I175">
            <v>0.67669999999999997</v>
          </cell>
          <cell r="J175">
            <v>0.67669999999999997</v>
          </cell>
          <cell r="K175">
            <v>0.67669999999999997</v>
          </cell>
          <cell r="L175">
            <v>0.67669999999999997</v>
          </cell>
          <cell r="M175">
            <v>0.67669999999999997</v>
          </cell>
        </row>
        <row r="176">
          <cell r="A176">
            <v>7.2</v>
          </cell>
          <cell r="B176">
            <v>0.86770000000000003</v>
          </cell>
          <cell r="C176">
            <v>0.86770000000000003</v>
          </cell>
          <cell r="D176">
            <v>0.76870000000000005</v>
          </cell>
          <cell r="E176">
            <v>0.76870000000000005</v>
          </cell>
          <cell r="F176">
            <v>0.76870000000000005</v>
          </cell>
          <cell r="G176">
            <v>0.76870000000000005</v>
          </cell>
          <cell r="H176">
            <v>0.76870000000000005</v>
          </cell>
          <cell r="I176">
            <v>0.67469999999999997</v>
          </cell>
          <cell r="J176">
            <v>0.67469999999999997</v>
          </cell>
          <cell r="K176">
            <v>0.67469999999999997</v>
          </cell>
          <cell r="L176">
            <v>0.67469999999999997</v>
          </cell>
          <cell r="M176">
            <v>0.67469999999999997</v>
          </cell>
        </row>
        <row r="177">
          <cell r="A177">
            <v>7.3</v>
          </cell>
          <cell r="B177">
            <v>0.86609999999999998</v>
          </cell>
          <cell r="C177">
            <v>0.86609999999999998</v>
          </cell>
          <cell r="D177">
            <v>0.76700000000000002</v>
          </cell>
          <cell r="E177">
            <v>0.76700000000000002</v>
          </cell>
          <cell r="F177">
            <v>0.76700000000000002</v>
          </cell>
          <cell r="G177">
            <v>0.76700000000000002</v>
          </cell>
          <cell r="H177">
            <v>0.76700000000000002</v>
          </cell>
          <cell r="I177">
            <v>0.67269999999999996</v>
          </cell>
          <cell r="J177">
            <v>0.67269999999999996</v>
          </cell>
          <cell r="K177">
            <v>0.67269999999999996</v>
          </cell>
          <cell r="L177">
            <v>0.67269999999999996</v>
          </cell>
          <cell r="M177">
            <v>0.67269999999999996</v>
          </cell>
        </row>
        <row r="178">
          <cell r="A178">
            <v>7.4</v>
          </cell>
          <cell r="B178">
            <v>0.86450000000000005</v>
          </cell>
          <cell r="C178">
            <v>0.86450000000000005</v>
          </cell>
          <cell r="D178">
            <v>0.76529999999999998</v>
          </cell>
          <cell r="E178">
            <v>0.76529999999999998</v>
          </cell>
          <cell r="F178">
            <v>0.76529999999999998</v>
          </cell>
          <cell r="G178">
            <v>0.76529999999999998</v>
          </cell>
          <cell r="H178">
            <v>0.76529999999999998</v>
          </cell>
          <cell r="I178">
            <v>0.67079999999999995</v>
          </cell>
          <cell r="J178">
            <v>0.67079999999999995</v>
          </cell>
          <cell r="K178">
            <v>0.67079999999999995</v>
          </cell>
          <cell r="L178">
            <v>0.67079999999999995</v>
          </cell>
          <cell r="M178">
            <v>0.67079999999999995</v>
          </cell>
        </row>
        <row r="179">
          <cell r="A179">
            <v>7.5</v>
          </cell>
          <cell r="B179">
            <v>0.86299999999999999</v>
          </cell>
          <cell r="C179">
            <v>0.86299999999999999</v>
          </cell>
          <cell r="D179">
            <v>0.76359999999999995</v>
          </cell>
          <cell r="E179">
            <v>0.76359999999999995</v>
          </cell>
          <cell r="F179">
            <v>0.76359999999999995</v>
          </cell>
          <cell r="G179">
            <v>0.76359999999999995</v>
          </cell>
          <cell r="H179">
            <v>0.76359999999999995</v>
          </cell>
          <cell r="I179">
            <v>0.66890000000000005</v>
          </cell>
          <cell r="J179">
            <v>0.66890000000000005</v>
          </cell>
          <cell r="K179">
            <v>0.66890000000000005</v>
          </cell>
          <cell r="L179">
            <v>0.66890000000000005</v>
          </cell>
          <cell r="M179">
            <v>0.66890000000000005</v>
          </cell>
        </row>
        <row r="180">
          <cell r="A180">
            <v>7.6</v>
          </cell>
          <cell r="B180">
            <v>0.86150000000000004</v>
          </cell>
          <cell r="C180">
            <v>0.86150000000000004</v>
          </cell>
          <cell r="D180">
            <v>0.76200000000000001</v>
          </cell>
          <cell r="E180">
            <v>0.76200000000000001</v>
          </cell>
          <cell r="F180">
            <v>0.76200000000000001</v>
          </cell>
          <cell r="G180">
            <v>0.76200000000000001</v>
          </cell>
          <cell r="H180">
            <v>0.76200000000000001</v>
          </cell>
          <cell r="I180">
            <v>0.66700000000000004</v>
          </cell>
          <cell r="J180">
            <v>0.66700000000000004</v>
          </cell>
          <cell r="K180">
            <v>0.66700000000000004</v>
          </cell>
          <cell r="L180">
            <v>0.66700000000000004</v>
          </cell>
          <cell r="M180">
            <v>0.66700000000000004</v>
          </cell>
        </row>
        <row r="181">
          <cell r="A181">
            <v>7.7</v>
          </cell>
          <cell r="B181">
            <v>0.86</v>
          </cell>
          <cell r="C181">
            <v>0.86</v>
          </cell>
          <cell r="D181">
            <v>0.76039999999999996</v>
          </cell>
          <cell r="E181">
            <v>0.76039999999999996</v>
          </cell>
          <cell r="F181">
            <v>0.76039999999999996</v>
          </cell>
          <cell r="G181">
            <v>0.76039999999999996</v>
          </cell>
          <cell r="H181">
            <v>0.76039999999999996</v>
          </cell>
          <cell r="I181">
            <v>0.66510000000000002</v>
          </cell>
          <cell r="J181">
            <v>0.66510000000000002</v>
          </cell>
          <cell r="K181">
            <v>0.66510000000000002</v>
          </cell>
          <cell r="L181">
            <v>0.66510000000000002</v>
          </cell>
          <cell r="M181">
            <v>0.66510000000000002</v>
          </cell>
        </row>
        <row r="182">
          <cell r="A182">
            <v>7.8</v>
          </cell>
          <cell r="B182">
            <v>0.85850000000000004</v>
          </cell>
          <cell r="C182">
            <v>0.85850000000000004</v>
          </cell>
          <cell r="D182">
            <v>0.75880000000000003</v>
          </cell>
          <cell r="E182">
            <v>0.75880000000000003</v>
          </cell>
          <cell r="F182">
            <v>0.75880000000000003</v>
          </cell>
          <cell r="G182">
            <v>0.75880000000000003</v>
          </cell>
          <cell r="H182">
            <v>0.75880000000000003</v>
          </cell>
          <cell r="I182">
            <v>0.6633</v>
          </cell>
          <cell r="J182">
            <v>0.6633</v>
          </cell>
          <cell r="K182">
            <v>0.6633</v>
          </cell>
          <cell r="L182">
            <v>0.6633</v>
          </cell>
          <cell r="M182">
            <v>0.6633</v>
          </cell>
        </row>
        <row r="183">
          <cell r="A183">
            <v>7.9</v>
          </cell>
          <cell r="B183">
            <v>0.85699999999999998</v>
          </cell>
          <cell r="C183">
            <v>0.85699999999999998</v>
          </cell>
          <cell r="D183">
            <v>0.75719999999999998</v>
          </cell>
          <cell r="E183">
            <v>0.75719999999999998</v>
          </cell>
          <cell r="F183">
            <v>0.75719999999999998</v>
          </cell>
          <cell r="G183">
            <v>0.75719999999999998</v>
          </cell>
          <cell r="H183">
            <v>0.75719999999999998</v>
          </cell>
          <cell r="I183">
            <v>0.66149999999999998</v>
          </cell>
          <cell r="J183">
            <v>0.66149999999999998</v>
          </cell>
          <cell r="K183">
            <v>0.66149999999999998</v>
          </cell>
          <cell r="L183">
            <v>0.66149999999999998</v>
          </cell>
          <cell r="M183">
            <v>0.66149999999999998</v>
          </cell>
        </row>
        <row r="184">
          <cell r="A184">
            <v>8</v>
          </cell>
          <cell r="B184">
            <v>0.85550000000000004</v>
          </cell>
          <cell r="C184">
            <v>0.85550000000000004</v>
          </cell>
          <cell r="D184">
            <v>0.75570000000000004</v>
          </cell>
          <cell r="E184">
            <v>0.75570000000000004</v>
          </cell>
          <cell r="F184">
            <v>0.75570000000000004</v>
          </cell>
          <cell r="G184">
            <v>0.75570000000000004</v>
          </cell>
          <cell r="H184">
            <v>0.75570000000000004</v>
          </cell>
          <cell r="I184">
            <v>0.65969999999999995</v>
          </cell>
          <cell r="J184">
            <v>0.65969999999999995</v>
          </cell>
          <cell r="K184">
            <v>0.65969999999999995</v>
          </cell>
          <cell r="L184">
            <v>0.65969999999999995</v>
          </cell>
          <cell r="M184">
            <v>0.65969999999999995</v>
          </cell>
        </row>
        <row r="185">
          <cell r="A185">
            <v>8.1</v>
          </cell>
          <cell r="B185">
            <v>0.85399999999999998</v>
          </cell>
          <cell r="C185">
            <v>0.85399999999999998</v>
          </cell>
          <cell r="D185">
            <v>0.75419999999999998</v>
          </cell>
          <cell r="E185">
            <v>0.75419999999999998</v>
          </cell>
          <cell r="F185">
            <v>0.75419999999999998</v>
          </cell>
          <cell r="G185">
            <v>0.75419999999999998</v>
          </cell>
          <cell r="H185">
            <v>0.75419999999999998</v>
          </cell>
          <cell r="I185">
            <v>0.65800000000000003</v>
          </cell>
          <cell r="J185">
            <v>0.65800000000000003</v>
          </cell>
          <cell r="K185">
            <v>0.65800000000000003</v>
          </cell>
          <cell r="L185">
            <v>0.65800000000000003</v>
          </cell>
          <cell r="M185">
            <v>0.65800000000000003</v>
          </cell>
        </row>
        <row r="186">
          <cell r="A186">
            <v>8.1999999999999993</v>
          </cell>
          <cell r="B186">
            <v>0.85250000000000004</v>
          </cell>
          <cell r="C186">
            <v>0.85250000000000004</v>
          </cell>
          <cell r="D186">
            <v>0.75270000000000004</v>
          </cell>
          <cell r="E186">
            <v>0.75270000000000004</v>
          </cell>
          <cell r="F186">
            <v>0.75270000000000004</v>
          </cell>
          <cell r="G186">
            <v>0.75270000000000004</v>
          </cell>
          <cell r="H186">
            <v>0.75270000000000004</v>
          </cell>
          <cell r="I186">
            <v>0.65629999999999999</v>
          </cell>
          <cell r="J186">
            <v>0.65629999999999999</v>
          </cell>
          <cell r="K186">
            <v>0.65629999999999999</v>
          </cell>
          <cell r="L186">
            <v>0.65629999999999999</v>
          </cell>
          <cell r="M186">
            <v>0.65629999999999999</v>
          </cell>
        </row>
        <row r="187">
          <cell r="A187">
            <v>8.3000000000000007</v>
          </cell>
          <cell r="B187">
            <v>0.85109999999999997</v>
          </cell>
          <cell r="C187">
            <v>0.85109999999999997</v>
          </cell>
          <cell r="D187">
            <v>0.75119999999999998</v>
          </cell>
          <cell r="E187">
            <v>0.75119999999999998</v>
          </cell>
          <cell r="F187">
            <v>0.75119999999999998</v>
          </cell>
          <cell r="G187">
            <v>0.75119999999999998</v>
          </cell>
          <cell r="H187">
            <v>0.75119999999999998</v>
          </cell>
          <cell r="I187">
            <v>0.65459999999999996</v>
          </cell>
          <cell r="J187">
            <v>0.65459999999999996</v>
          </cell>
          <cell r="K187">
            <v>0.65459999999999996</v>
          </cell>
          <cell r="L187">
            <v>0.65459999999999996</v>
          </cell>
          <cell r="M187">
            <v>0.65459999999999996</v>
          </cell>
        </row>
        <row r="188">
          <cell r="A188">
            <v>8.4</v>
          </cell>
          <cell r="B188">
            <v>0.84970000000000001</v>
          </cell>
          <cell r="C188">
            <v>0.84970000000000001</v>
          </cell>
          <cell r="D188">
            <v>0.74970000000000003</v>
          </cell>
          <cell r="E188">
            <v>0.74970000000000003</v>
          </cell>
          <cell r="F188">
            <v>0.74970000000000003</v>
          </cell>
          <cell r="G188">
            <v>0.74970000000000003</v>
          </cell>
          <cell r="H188">
            <v>0.74970000000000003</v>
          </cell>
          <cell r="I188">
            <v>0.65300000000000002</v>
          </cell>
          <cell r="J188">
            <v>0.65300000000000002</v>
          </cell>
          <cell r="K188">
            <v>0.65300000000000002</v>
          </cell>
          <cell r="L188">
            <v>0.65300000000000002</v>
          </cell>
          <cell r="M188">
            <v>0.65300000000000002</v>
          </cell>
        </row>
        <row r="189">
          <cell r="A189">
            <v>8.5</v>
          </cell>
          <cell r="B189">
            <v>0.84830000000000005</v>
          </cell>
          <cell r="C189">
            <v>0.84830000000000005</v>
          </cell>
          <cell r="D189">
            <v>0.74819999999999998</v>
          </cell>
          <cell r="E189">
            <v>0.74819999999999998</v>
          </cell>
          <cell r="F189">
            <v>0.74819999999999998</v>
          </cell>
          <cell r="G189">
            <v>0.74819999999999998</v>
          </cell>
          <cell r="H189">
            <v>0.74819999999999998</v>
          </cell>
          <cell r="I189">
            <v>0.65139999999999998</v>
          </cell>
          <cell r="J189">
            <v>0.65139999999999998</v>
          </cell>
          <cell r="K189">
            <v>0.65139999999999998</v>
          </cell>
          <cell r="L189">
            <v>0.65139999999999998</v>
          </cell>
          <cell r="M189">
            <v>0.65139999999999998</v>
          </cell>
        </row>
        <row r="190">
          <cell r="A190">
            <v>8.6</v>
          </cell>
          <cell r="B190">
            <v>0.84689999999999999</v>
          </cell>
          <cell r="C190">
            <v>0.84689999999999999</v>
          </cell>
          <cell r="D190">
            <v>0.74670000000000003</v>
          </cell>
          <cell r="E190">
            <v>0.74670000000000003</v>
          </cell>
          <cell r="F190">
            <v>0.74670000000000003</v>
          </cell>
          <cell r="G190">
            <v>0.74670000000000003</v>
          </cell>
          <cell r="H190">
            <v>0.74670000000000003</v>
          </cell>
          <cell r="I190">
            <v>0.64980000000000004</v>
          </cell>
          <cell r="J190">
            <v>0.64980000000000004</v>
          </cell>
          <cell r="K190">
            <v>0.64980000000000004</v>
          </cell>
          <cell r="L190">
            <v>0.64980000000000004</v>
          </cell>
          <cell r="M190">
            <v>0.64980000000000004</v>
          </cell>
        </row>
        <row r="191">
          <cell r="A191">
            <v>8.6999999999999993</v>
          </cell>
          <cell r="B191">
            <v>0.84550000000000003</v>
          </cell>
          <cell r="C191">
            <v>0.84550000000000003</v>
          </cell>
          <cell r="D191">
            <v>0.74519999999999997</v>
          </cell>
          <cell r="E191">
            <v>0.74519999999999997</v>
          </cell>
          <cell r="F191">
            <v>0.74519999999999997</v>
          </cell>
          <cell r="G191">
            <v>0.74519999999999997</v>
          </cell>
          <cell r="H191">
            <v>0.74519999999999997</v>
          </cell>
          <cell r="I191">
            <v>0.6482</v>
          </cell>
          <cell r="J191">
            <v>0.6482</v>
          </cell>
          <cell r="K191">
            <v>0.6482</v>
          </cell>
          <cell r="L191">
            <v>0.6482</v>
          </cell>
          <cell r="M191">
            <v>0.6482</v>
          </cell>
        </row>
        <row r="192">
          <cell r="A192">
            <v>8.8000000000000007</v>
          </cell>
          <cell r="B192">
            <v>0.84409999999999996</v>
          </cell>
          <cell r="C192">
            <v>0.84409999999999996</v>
          </cell>
          <cell r="D192">
            <v>0.74370000000000003</v>
          </cell>
          <cell r="E192">
            <v>0.74370000000000003</v>
          </cell>
          <cell r="F192">
            <v>0.74370000000000003</v>
          </cell>
          <cell r="G192">
            <v>0.74370000000000003</v>
          </cell>
          <cell r="H192">
            <v>0.74370000000000003</v>
          </cell>
          <cell r="I192">
            <v>0.64659999999999995</v>
          </cell>
          <cell r="J192">
            <v>0.64659999999999995</v>
          </cell>
          <cell r="K192">
            <v>0.64659999999999995</v>
          </cell>
          <cell r="L192">
            <v>0.64659999999999995</v>
          </cell>
          <cell r="M192">
            <v>0.64659999999999995</v>
          </cell>
        </row>
        <row r="193">
          <cell r="A193">
            <v>8.9</v>
          </cell>
          <cell r="B193">
            <v>0.84279999999999999</v>
          </cell>
          <cell r="C193">
            <v>0.84279999999999999</v>
          </cell>
          <cell r="D193">
            <v>0.74219999999999997</v>
          </cell>
          <cell r="E193">
            <v>0.74219999999999997</v>
          </cell>
          <cell r="F193">
            <v>0.74219999999999997</v>
          </cell>
          <cell r="G193">
            <v>0.74219999999999997</v>
          </cell>
          <cell r="H193">
            <v>0.74219999999999997</v>
          </cell>
          <cell r="I193">
            <v>0.64500000000000002</v>
          </cell>
          <cell r="J193">
            <v>0.64500000000000002</v>
          </cell>
          <cell r="K193">
            <v>0.64500000000000002</v>
          </cell>
          <cell r="L193">
            <v>0.64500000000000002</v>
          </cell>
          <cell r="M193">
            <v>0.64500000000000002</v>
          </cell>
        </row>
        <row r="194">
          <cell r="A194">
            <v>9</v>
          </cell>
          <cell r="B194">
            <v>0.84150000000000003</v>
          </cell>
          <cell r="C194">
            <v>0.84150000000000003</v>
          </cell>
          <cell r="D194">
            <v>0.74070000000000003</v>
          </cell>
          <cell r="E194">
            <v>0.74070000000000003</v>
          </cell>
          <cell r="F194">
            <v>0.74070000000000003</v>
          </cell>
          <cell r="G194">
            <v>0.74070000000000003</v>
          </cell>
          <cell r="H194">
            <v>0.74070000000000003</v>
          </cell>
          <cell r="I194">
            <v>0.64349999999999996</v>
          </cell>
          <cell r="J194">
            <v>0.64349999999999996</v>
          </cell>
          <cell r="K194">
            <v>0.64349999999999996</v>
          </cell>
          <cell r="L194">
            <v>0.64349999999999996</v>
          </cell>
          <cell r="M194">
            <v>0.64349999999999996</v>
          </cell>
        </row>
        <row r="195">
          <cell r="A195">
            <v>9.1</v>
          </cell>
          <cell r="B195">
            <v>0.84019999999999995</v>
          </cell>
          <cell r="C195">
            <v>0.84019999999999995</v>
          </cell>
          <cell r="D195">
            <v>0.73919999999999997</v>
          </cell>
          <cell r="E195">
            <v>0.73919999999999997</v>
          </cell>
          <cell r="F195">
            <v>0.73919999999999997</v>
          </cell>
          <cell r="G195">
            <v>0.73919999999999997</v>
          </cell>
          <cell r="H195">
            <v>0.73919999999999997</v>
          </cell>
          <cell r="I195">
            <v>0.64200000000000002</v>
          </cell>
          <cell r="J195">
            <v>0.64200000000000002</v>
          </cell>
          <cell r="K195">
            <v>0.64200000000000002</v>
          </cell>
          <cell r="L195">
            <v>0.64200000000000002</v>
          </cell>
          <cell r="M195">
            <v>0.64200000000000002</v>
          </cell>
        </row>
        <row r="196">
          <cell r="A196">
            <v>9.1999999999999993</v>
          </cell>
          <cell r="B196">
            <v>0.83889999999999998</v>
          </cell>
          <cell r="C196">
            <v>0.83889999999999998</v>
          </cell>
          <cell r="D196">
            <v>0.73770000000000002</v>
          </cell>
          <cell r="E196">
            <v>0.73770000000000002</v>
          </cell>
          <cell r="F196">
            <v>0.73770000000000002</v>
          </cell>
          <cell r="G196">
            <v>0.73770000000000002</v>
          </cell>
          <cell r="H196">
            <v>0.73770000000000002</v>
          </cell>
          <cell r="I196">
            <v>0.64059999999999995</v>
          </cell>
          <cell r="J196">
            <v>0.64059999999999995</v>
          </cell>
          <cell r="K196">
            <v>0.64059999999999995</v>
          </cell>
          <cell r="L196">
            <v>0.64059999999999995</v>
          </cell>
          <cell r="M196">
            <v>0.64059999999999995</v>
          </cell>
        </row>
        <row r="197">
          <cell r="A197">
            <v>9.3000000000000007</v>
          </cell>
          <cell r="B197">
            <v>0.83760000000000001</v>
          </cell>
          <cell r="C197">
            <v>0.83760000000000001</v>
          </cell>
          <cell r="D197">
            <v>0.73629999999999995</v>
          </cell>
          <cell r="E197">
            <v>0.73629999999999995</v>
          </cell>
          <cell r="F197">
            <v>0.73629999999999995</v>
          </cell>
          <cell r="G197">
            <v>0.73629999999999995</v>
          </cell>
          <cell r="H197">
            <v>0.73629999999999995</v>
          </cell>
          <cell r="I197">
            <v>0.63919999999999999</v>
          </cell>
          <cell r="J197">
            <v>0.63919999999999999</v>
          </cell>
          <cell r="K197">
            <v>0.63919999999999999</v>
          </cell>
          <cell r="L197">
            <v>0.63919999999999999</v>
          </cell>
          <cell r="M197">
            <v>0.63919999999999999</v>
          </cell>
        </row>
        <row r="198">
          <cell r="A198">
            <v>9.4</v>
          </cell>
          <cell r="B198">
            <v>0.83630000000000004</v>
          </cell>
          <cell r="C198">
            <v>0.83630000000000004</v>
          </cell>
          <cell r="D198">
            <v>0.7349</v>
          </cell>
          <cell r="E198">
            <v>0.7349</v>
          </cell>
          <cell r="F198">
            <v>0.7349</v>
          </cell>
          <cell r="G198">
            <v>0.7349</v>
          </cell>
          <cell r="H198">
            <v>0.7349</v>
          </cell>
          <cell r="I198">
            <v>0.63780000000000003</v>
          </cell>
          <cell r="J198">
            <v>0.63780000000000003</v>
          </cell>
          <cell r="K198">
            <v>0.63780000000000003</v>
          </cell>
          <cell r="L198">
            <v>0.63780000000000003</v>
          </cell>
          <cell r="M198">
            <v>0.63780000000000003</v>
          </cell>
        </row>
        <row r="199">
          <cell r="A199">
            <v>9.5</v>
          </cell>
          <cell r="B199">
            <v>0.83499999999999996</v>
          </cell>
          <cell r="C199">
            <v>0.83499999999999996</v>
          </cell>
          <cell r="D199">
            <v>0.73350000000000004</v>
          </cell>
          <cell r="E199">
            <v>0.73350000000000004</v>
          </cell>
          <cell r="F199">
            <v>0.73350000000000004</v>
          </cell>
          <cell r="G199">
            <v>0.73350000000000004</v>
          </cell>
          <cell r="H199">
            <v>0.73350000000000004</v>
          </cell>
          <cell r="I199">
            <v>0.63639999999999997</v>
          </cell>
          <cell r="J199">
            <v>0.63639999999999997</v>
          </cell>
          <cell r="K199">
            <v>0.63639999999999997</v>
          </cell>
          <cell r="L199">
            <v>0.63639999999999997</v>
          </cell>
          <cell r="M199">
            <v>0.63639999999999997</v>
          </cell>
        </row>
        <row r="200">
          <cell r="A200">
            <v>9.6</v>
          </cell>
          <cell r="B200">
            <v>0.83379999999999999</v>
          </cell>
          <cell r="C200">
            <v>0.83379999999999999</v>
          </cell>
          <cell r="D200">
            <v>0.73209999999999997</v>
          </cell>
          <cell r="E200">
            <v>0.73209999999999997</v>
          </cell>
          <cell r="F200">
            <v>0.73209999999999997</v>
          </cell>
          <cell r="G200">
            <v>0.73209999999999997</v>
          </cell>
          <cell r="H200">
            <v>0.73209999999999997</v>
          </cell>
          <cell r="I200">
            <v>0.63500000000000001</v>
          </cell>
          <cell r="J200">
            <v>0.63500000000000001</v>
          </cell>
          <cell r="K200">
            <v>0.63500000000000001</v>
          </cell>
          <cell r="L200">
            <v>0.63500000000000001</v>
          </cell>
          <cell r="M200">
            <v>0.63500000000000001</v>
          </cell>
        </row>
        <row r="201">
          <cell r="A201">
            <v>9.6999999999999993</v>
          </cell>
          <cell r="B201">
            <v>0.83260000000000001</v>
          </cell>
          <cell r="C201">
            <v>0.83260000000000001</v>
          </cell>
          <cell r="D201">
            <v>0.73070000000000002</v>
          </cell>
          <cell r="E201">
            <v>0.73070000000000002</v>
          </cell>
          <cell r="F201">
            <v>0.73070000000000002</v>
          </cell>
          <cell r="G201">
            <v>0.73070000000000002</v>
          </cell>
          <cell r="H201">
            <v>0.73070000000000002</v>
          </cell>
          <cell r="I201">
            <v>0.63360000000000005</v>
          </cell>
          <cell r="J201">
            <v>0.63360000000000005</v>
          </cell>
          <cell r="K201">
            <v>0.63360000000000005</v>
          </cell>
          <cell r="L201">
            <v>0.63360000000000005</v>
          </cell>
          <cell r="M201">
            <v>0.63360000000000005</v>
          </cell>
        </row>
        <row r="202">
          <cell r="A202">
            <v>9.8000000000000007</v>
          </cell>
          <cell r="B202">
            <v>0.83140000000000003</v>
          </cell>
          <cell r="C202">
            <v>0.83140000000000003</v>
          </cell>
          <cell r="D202">
            <v>0.72929999999999995</v>
          </cell>
          <cell r="E202">
            <v>0.72929999999999995</v>
          </cell>
          <cell r="F202">
            <v>0.72929999999999995</v>
          </cell>
          <cell r="G202">
            <v>0.72929999999999995</v>
          </cell>
          <cell r="H202">
            <v>0.72929999999999995</v>
          </cell>
          <cell r="I202">
            <v>0.63219999999999998</v>
          </cell>
          <cell r="J202">
            <v>0.63219999999999998</v>
          </cell>
          <cell r="K202">
            <v>0.63219999999999998</v>
          </cell>
          <cell r="L202">
            <v>0.63219999999999998</v>
          </cell>
          <cell r="M202">
            <v>0.63219999999999998</v>
          </cell>
        </row>
        <row r="203">
          <cell r="A203">
            <v>9.9</v>
          </cell>
          <cell r="B203">
            <v>0.83020000000000005</v>
          </cell>
          <cell r="C203">
            <v>0.83020000000000005</v>
          </cell>
          <cell r="D203">
            <v>0.72799999999999998</v>
          </cell>
          <cell r="E203">
            <v>0.72799999999999998</v>
          </cell>
          <cell r="F203">
            <v>0.72799999999999998</v>
          </cell>
          <cell r="G203">
            <v>0.72799999999999998</v>
          </cell>
          <cell r="H203">
            <v>0.72799999999999998</v>
          </cell>
          <cell r="I203">
            <v>0.63080000000000003</v>
          </cell>
          <cell r="J203">
            <v>0.63080000000000003</v>
          </cell>
          <cell r="K203">
            <v>0.63080000000000003</v>
          </cell>
          <cell r="L203">
            <v>0.63080000000000003</v>
          </cell>
          <cell r="M203">
            <v>0.63080000000000003</v>
          </cell>
        </row>
        <row r="204">
          <cell r="A204">
            <v>10</v>
          </cell>
          <cell r="B204">
            <v>0.82899999999999996</v>
          </cell>
          <cell r="C204">
            <v>0.82899999999999996</v>
          </cell>
          <cell r="D204">
            <v>0.72670000000000001</v>
          </cell>
          <cell r="E204">
            <v>0.72670000000000001</v>
          </cell>
          <cell r="F204">
            <v>0.72670000000000001</v>
          </cell>
          <cell r="G204">
            <v>0.72670000000000001</v>
          </cell>
          <cell r="H204">
            <v>0.72670000000000001</v>
          </cell>
          <cell r="I204">
            <v>0.62939999999999996</v>
          </cell>
          <cell r="J204">
            <v>0.62939999999999996</v>
          </cell>
          <cell r="K204">
            <v>0.62939999999999996</v>
          </cell>
          <cell r="L204">
            <v>0.62939999999999996</v>
          </cell>
          <cell r="M204">
            <v>0.62939999999999996</v>
          </cell>
        </row>
        <row r="207">
          <cell r="A207">
            <v>0.1</v>
          </cell>
          <cell r="B207">
            <v>12.172000000000001</v>
          </cell>
          <cell r="C207">
            <v>12.172000000000001</v>
          </cell>
          <cell r="D207">
            <v>12.375999999999999</v>
          </cell>
          <cell r="E207">
            <v>12.375999999999999</v>
          </cell>
          <cell r="F207">
            <v>12.375999999999999</v>
          </cell>
          <cell r="G207">
            <v>12.375999999999999</v>
          </cell>
          <cell r="H207">
            <v>12.375999999999999</v>
          </cell>
          <cell r="I207">
            <v>11.071999999999999</v>
          </cell>
          <cell r="J207">
            <v>11.071999999999999</v>
          </cell>
          <cell r="K207">
            <v>11.071999999999999</v>
          </cell>
          <cell r="L207">
            <v>11.071999999999999</v>
          </cell>
          <cell r="M207">
            <v>11.071999999999999</v>
          </cell>
        </row>
        <row r="208">
          <cell r="A208">
            <v>0.2</v>
          </cell>
          <cell r="B208">
            <v>6.0860000000000003</v>
          </cell>
          <cell r="C208">
            <v>6.0860000000000003</v>
          </cell>
          <cell r="D208">
            <v>6.1879999999999997</v>
          </cell>
          <cell r="E208">
            <v>6.1879999999999997</v>
          </cell>
          <cell r="F208">
            <v>6.1879999999999997</v>
          </cell>
          <cell r="G208">
            <v>6.1879999999999997</v>
          </cell>
          <cell r="H208">
            <v>6.1879999999999997</v>
          </cell>
          <cell r="I208">
            <v>5.5359999999999996</v>
          </cell>
          <cell r="J208">
            <v>5.5359999999999996</v>
          </cell>
          <cell r="K208">
            <v>5.5359999999999996</v>
          </cell>
          <cell r="L208">
            <v>5.5359999999999996</v>
          </cell>
          <cell r="M208">
            <v>5.5359999999999996</v>
          </cell>
        </row>
        <row r="209">
          <cell r="A209">
            <v>0.3</v>
          </cell>
          <cell r="B209">
            <v>4.0572999999999997</v>
          </cell>
          <cell r="C209">
            <v>4.0572999999999997</v>
          </cell>
          <cell r="D209">
            <v>4.1253000000000002</v>
          </cell>
          <cell r="E209">
            <v>4.1253000000000002</v>
          </cell>
          <cell r="F209">
            <v>4.1253000000000002</v>
          </cell>
          <cell r="G209">
            <v>4.1253000000000002</v>
          </cell>
          <cell r="H209">
            <v>4.1253000000000002</v>
          </cell>
          <cell r="I209">
            <v>3.6907000000000001</v>
          </cell>
          <cell r="J209">
            <v>3.6907000000000001</v>
          </cell>
          <cell r="K209">
            <v>3.6907000000000001</v>
          </cell>
          <cell r="L209">
            <v>3.6907000000000001</v>
          </cell>
          <cell r="M209">
            <v>3.6907000000000001</v>
          </cell>
        </row>
        <row r="210">
          <cell r="A210">
            <v>0.4</v>
          </cell>
          <cell r="B210">
            <v>3.0430000000000001</v>
          </cell>
          <cell r="C210">
            <v>3.0430000000000001</v>
          </cell>
          <cell r="D210">
            <v>3.0939999999999999</v>
          </cell>
          <cell r="E210">
            <v>3.0939999999999999</v>
          </cell>
          <cell r="F210">
            <v>3.0939999999999999</v>
          </cell>
          <cell r="G210">
            <v>3.0939999999999999</v>
          </cell>
          <cell r="H210">
            <v>3.0939999999999999</v>
          </cell>
          <cell r="I210">
            <v>2.7679999999999998</v>
          </cell>
          <cell r="J210">
            <v>2.7679999999999998</v>
          </cell>
          <cell r="K210">
            <v>2.7679999999999998</v>
          </cell>
          <cell r="L210">
            <v>2.7679999999999998</v>
          </cell>
          <cell r="M210">
            <v>2.7679999999999998</v>
          </cell>
        </row>
        <row r="211">
          <cell r="A211">
            <v>0.5</v>
          </cell>
          <cell r="B211">
            <v>2.4344000000000001</v>
          </cell>
          <cell r="C211">
            <v>2.4344000000000001</v>
          </cell>
          <cell r="D211">
            <v>2.4752000000000001</v>
          </cell>
          <cell r="E211">
            <v>2.4752000000000001</v>
          </cell>
          <cell r="F211">
            <v>2.4752000000000001</v>
          </cell>
          <cell r="G211">
            <v>2.4752000000000001</v>
          </cell>
          <cell r="H211">
            <v>2.4752000000000001</v>
          </cell>
          <cell r="I211">
            <v>2.2143999999999999</v>
          </cell>
          <cell r="J211">
            <v>2.2143999999999999</v>
          </cell>
          <cell r="K211">
            <v>2.2143999999999999</v>
          </cell>
          <cell r="L211">
            <v>2.2143999999999999</v>
          </cell>
          <cell r="M211">
            <v>2.2143999999999999</v>
          </cell>
        </row>
        <row r="212">
          <cell r="A212">
            <v>0.6</v>
          </cell>
          <cell r="B212">
            <v>2.0287000000000002</v>
          </cell>
          <cell r="C212">
            <v>2.0287000000000002</v>
          </cell>
          <cell r="D212">
            <v>2.0627</v>
          </cell>
          <cell r="E212">
            <v>2.0627</v>
          </cell>
          <cell r="F212">
            <v>2.0627</v>
          </cell>
          <cell r="G212">
            <v>2.0627</v>
          </cell>
          <cell r="H212">
            <v>2.0627</v>
          </cell>
          <cell r="I212">
            <v>1.8452999999999999</v>
          </cell>
          <cell r="J212">
            <v>1.8452999999999999</v>
          </cell>
          <cell r="K212">
            <v>1.8452999999999999</v>
          </cell>
          <cell r="L212">
            <v>1.8452999999999999</v>
          </cell>
          <cell r="M212">
            <v>1.8452999999999999</v>
          </cell>
        </row>
        <row r="213">
          <cell r="A213">
            <v>0.7</v>
          </cell>
          <cell r="B213">
            <v>1.7388999999999999</v>
          </cell>
          <cell r="C213">
            <v>1.7388999999999999</v>
          </cell>
          <cell r="D213">
            <v>1.768</v>
          </cell>
          <cell r="E213">
            <v>1.768</v>
          </cell>
          <cell r="F213">
            <v>1.768</v>
          </cell>
          <cell r="G213">
            <v>1.768</v>
          </cell>
          <cell r="H213">
            <v>1.768</v>
          </cell>
          <cell r="I213">
            <v>1.5817000000000001</v>
          </cell>
          <cell r="J213">
            <v>1.5817000000000001</v>
          </cell>
          <cell r="K213">
            <v>1.5817000000000001</v>
          </cell>
          <cell r="L213">
            <v>1.5817000000000001</v>
          </cell>
          <cell r="M213">
            <v>1.5817000000000001</v>
          </cell>
        </row>
        <row r="214">
          <cell r="A214">
            <v>0.8</v>
          </cell>
          <cell r="B214">
            <v>1.5215000000000001</v>
          </cell>
          <cell r="C214">
            <v>1.5215000000000001</v>
          </cell>
          <cell r="D214">
            <v>1.5469999999999999</v>
          </cell>
          <cell r="E214">
            <v>1.5469999999999999</v>
          </cell>
          <cell r="F214">
            <v>1.5469999999999999</v>
          </cell>
          <cell r="G214">
            <v>1.5469999999999999</v>
          </cell>
          <cell r="H214">
            <v>1.5469999999999999</v>
          </cell>
          <cell r="I214">
            <v>1.3839999999999999</v>
          </cell>
          <cell r="J214">
            <v>1.3839999999999999</v>
          </cell>
          <cell r="K214">
            <v>1.3839999999999999</v>
          </cell>
          <cell r="L214">
            <v>1.3839999999999999</v>
          </cell>
          <cell r="M214">
            <v>1.3839999999999999</v>
          </cell>
        </row>
        <row r="215">
          <cell r="A215">
            <v>0.9</v>
          </cell>
          <cell r="B215">
            <v>1.3524</v>
          </cell>
          <cell r="C215">
            <v>1.3524</v>
          </cell>
          <cell r="D215">
            <v>1.3751</v>
          </cell>
          <cell r="E215">
            <v>1.3751</v>
          </cell>
          <cell r="F215">
            <v>1.3751</v>
          </cell>
          <cell r="G215">
            <v>1.3751</v>
          </cell>
          <cell r="H215">
            <v>1.3751</v>
          </cell>
          <cell r="I215">
            <v>1.2302</v>
          </cell>
          <cell r="J215">
            <v>1.2302</v>
          </cell>
          <cell r="K215">
            <v>1.2302</v>
          </cell>
          <cell r="L215">
            <v>1.2302</v>
          </cell>
          <cell r="M215">
            <v>1.2302</v>
          </cell>
        </row>
        <row r="216">
          <cell r="A216">
            <v>1</v>
          </cell>
          <cell r="B216">
            <v>1.2172000000000001</v>
          </cell>
          <cell r="C216">
            <v>1.2172000000000001</v>
          </cell>
          <cell r="D216">
            <v>1.2376</v>
          </cell>
          <cell r="E216">
            <v>1.2376</v>
          </cell>
          <cell r="F216">
            <v>1.2376</v>
          </cell>
          <cell r="G216">
            <v>1.2376</v>
          </cell>
          <cell r="H216">
            <v>1.2376</v>
          </cell>
          <cell r="I216">
            <v>1.1072</v>
          </cell>
          <cell r="J216">
            <v>1.1072</v>
          </cell>
          <cell r="K216">
            <v>1.1072</v>
          </cell>
          <cell r="L216">
            <v>1.1072</v>
          </cell>
          <cell r="M216">
            <v>1.1072</v>
          </cell>
        </row>
        <row r="217">
          <cell r="A217">
            <v>1.1000000000000001</v>
          </cell>
          <cell r="B217">
            <v>1.198</v>
          </cell>
          <cell r="C217">
            <v>1.198</v>
          </cell>
          <cell r="D217">
            <v>1.2156</v>
          </cell>
          <cell r="E217">
            <v>1.2156</v>
          </cell>
          <cell r="F217">
            <v>1.2156</v>
          </cell>
          <cell r="G217">
            <v>1.2156</v>
          </cell>
          <cell r="H217">
            <v>1.2156</v>
          </cell>
          <cell r="I217">
            <v>1.0829</v>
          </cell>
          <cell r="J217">
            <v>1.0829</v>
          </cell>
          <cell r="K217">
            <v>1.0829</v>
          </cell>
          <cell r="L217">
            <v>1.0829</v>
          </cell>
          <cell r="M217">
            <v>1.0829</v>
          </cell>
        </row>
        <row r="218">
          <cell r="A218">
            <v>1.2</v>
          </cell>
          <cell r="B218">
            <v>1.1795</v>
          </cell>
          <cell r="C218">
            <v>1.1795</v>
          </cell>
          <cell r="D218">
            <v>1.1947000000000001</v>
          </cell>
          <cell r="E218">
            <v>1.1947000000000001</v>
          </cell>
          <cell r="F218">
            <v>1.1947000000000001</v>
          </cell>
          <cell r="G218">
            <v>1.1947000000000001</v>
          </cell>
          <cell r="H218">
            <v>1.1947000000000001</v>
          </cell>
          <cell r="I218">
            <v>1.0601</v>
          </cell>
          <cell r="J218">
            <v>1.0601</v>
          </cell>
          <cell r="K218">
            <v>1.0601</v>
          </cell>
          <cell r="L218">
            <v>1.0601</v>
          </cell>
          <cell r="M218">
            <v>1.0601</v>
          </cell>
        </row>
        <row r="219">
          <cell r="A219">
            <v>1.3</v>
          </cell>
          <cell r="B219">
            <v>1.1617999999999999</v>
          </cell>
          <cell r="C219">
            <v>1.1617999999999999</v>
          </cell>
          <cell r="D219">
            <v>1.1748000000000001</v>
          </cell>
          <cell r="E219">
            <v>1.1748000000000001</v>
          </cell>
          <cell r="F219">
            <v>1.1748000000000001</v>
          </cell>
          <cell r="G219">
            <v>1.1748000000000001</v>
          </cell>
          <cell r="H219">
            <v>1.1748000000000001</v>
          </cell>
          <cell r="I219">
            <v>1.0387999999999999</v>
          </cell>
          <cell r="J219">
            <v>1.0387999999999999</v>
          </cell>
          <cell r="K219">
            <v>1.0387999999999999</v>
          </cell>
          <cell r="L219">
            <v>1.0387999999999999</v>
          </cell>
          <cell r="M219">
            <v>1.0387999999999999</v>
          </cell>
        </row>
        <row r="220">
          <cell r="A220">
            <v>1.4</v>
          </cell>
          <cell r="B220">
            <v>1.1448</v>
          </cell>
          <cell r="C220">
            <v>1.1448</v>
          </cell>
          <cell r="D220">
            <v>1.1557999999999999</v>
          </cell>
          <cell r="E220">
            <v>1.1557999999999999</v>
          </cell>
          <cell r="F220">
            <v>1.1557999999999999</v>
          </cell>
          <cell r="G220">
            <v>1.1557999999999999</v>
          </cell>
          <cell r="H220">
            <v>1.1557999999999999</v>
          </cell>
          <cell r="I220">
            <v>1.0187999999999999</v>
          </cell>
          <cell r="J220">
            <v>1.0187999999999999</v>
          </cell>
          <cell r="K220">
            <v>1.0187999999999999</v>
          </cell>
          <cell r="L220">
            <v>1.0187999999999999</v>
          </cell>
          <cell r="M220">
            <v>1.0187999999999999</v>
          </cell>
        </row>
        <row r="221">
          <cell r="A221">
            <v>1.5</v>
          </cell>
          <cell r="B221">
            <v>1.1285000000000001</v>
          </cell>
          <cell r="C221">
            <v>1.1285000000000001</v>
          </cell>
          <cell r="D221">
            <v>1.1377999999999999</v>
          </cell>
          <cell r="E221">
            <v>1.1377999999999999</v>
          </cell>
          <cell r="F221">
            <v>1.1377999999999999</v>
          </cell>
          <cell r="G221">
            <v>1.1377999999999999</v>
          </cell>
          <cell r="H221">
            <v>1.1377999999999999</v>
          </cell>
          <cell r="I221">
            <v>1</v>
          </cell>
          <cell r="J221">
            <v>1</v>
          </cell>
          <cell r="K221">
            <v>1</v>
          </cell>
          <cell r="L221">
            <v>1</v>
          </cell>
          <cell r="M221">
            <v>1</v>
          </cell>
        </row>
        <row r="222">
          <cell r="A222">
            <v>1.6</v>
          </cell>
          <cell r="B222">
            <v>1.1129</v>
          </cell>
          <cell r="C222">
            <v>1.1129</v>
          </cell>
          <cell r="D222">
            <v>1.1206</v>
          </cell>
          <cell r="E222">
            <v>1.1206</v>
          </cell>
          <cell r="F222">
            <v>1.1206</v>
          </cell>
          <cell r="G222">
            <v>1.1206</v>
          </cell>
          <cell r="H222">
            <v>1.1206</v>
          </cell>
          <cell r="I222">
            <v>0.98240000000000005</v>
          </cell>
          <cell r="J222">
            <v>0.98240000000000005</v>
          </cell>
          <cell r="K222">
            <v>0.98240000000000005</v>
          </cell>
          <cell r="L222">
            <v>0.98240000000000005</v>
          </cell>
          <cell r="M222">
            <v>0.98240000000000005</v>
          </cell>
        </row>
        <row r="223">
          <cell r="A223">
            <v>1.7</v>
          </cell>
          <cell r="B223">
            <v>1.0980000000000001</v>
          </cell>
          <cell r="C223">
            <v>1.0980000000000001</v>
          </cell>
          <cell r="D223">
            <v>1.1043000000000001</v>
          </cell>
          <cell r="E223">
            <v>1.1043000000000001</v>
          </cell>
          <cell r="F223">
            <v>1.1043000000000001</v>
          </cell>
          <cell r="G223">
            <v>1.1043000000000001</v>
          </cell>
          <cell r="H223">
            <v>1.1043000000000001</v>
          </cell>
          <cell r="I223">
            <v>0.96579999999999999</v>
          </cell>
          <cell r="J223">
            <v>0.96579999999999999</v>
          </cell>
          <cell r="K223">
            <v>0.96579999999999999</v>
          </cell>
          <cell r="L223">
            <v>0.96579999999999999</v>
          </cell>
          <cell r="M223">
            <v>0.96579999999999999</v>
          </cell>
        </row>
        <row r="224">
          <cell r="A224">
            <v>1.8</v>
          </cell>
          <cell r="B224">
            <v>1.0835999999999999</v>
          </cell>
          <cell r="C224">
            <v>1.0835999999999999</v>
          </cell>
          <cell r="D224">
            <v>1.0888</v>
          </cell>
          <cell r="E224">
            <v>1.0888</v>
          </cell>
          <cell r="F224">
            <v>1.0888</v>
          </cell>
          <cell r="G224">
            <v>1.0888</v>
          </cell>
          <cell r="H224">
            <v>1.0888</v>
          </cell>
          <cell r="I224">
            <v>0.95030000000000003</v>
          </cell>
          <cell r="J224">
            <v>0.95030000000000003</v>
          </cell>
          <cell r="K224">
            <v>0.95030000000000003</v>
          </cell>
          <cell r="L224">
            <v>0.95030000000000003</v>
          </cell>
          <cell r="M224">
            <v>0.95030000000000003</v>
          </cell>
        </row>
        <row r="225">
          <cell r="A225">
            <v>1.9</v>
          </cell>
          <cell r="B225">
            <v>1.0698000000000001</v>
          </cell>
          <cell r="C225">
            <v>1.0698000000000001</v>
          </cell>
          <cell r="D225">
            <v>1.0741000000000001</v>
          </cell>
          <cell r="E225">
            <v>1.0741000000000001</v>
          </cell>
          <cell r="F225">
            <v>1.0741000000000001</v>
          </cell>
          <cell r="G225">
            <v>1.0741000000000001</v>
          </cell>
          <cell r="H225">
            <v>1.0741000000000001</v>
          </cell>
          <cell r="I225">
            <v>0.93610000000000004</v>
          </cell>
          <cell r="J225">
            <v>0.93610000000000004</v>
          </cell>
          <cell r="K225">
            <v>0.93610000000000004</v>
          </cell>
          <cell r="L225">
            <v>0.93610000000000004</v>
          </cell>
          <cell r="M225">
            <v>0.93610000000000004</v>
          </cell>
        </row>
        <row r="226">
          <cell r="A226">
            <v>2</v>
          </cell>
          <cell r="B226">
            <v>1.0568</v>
          </cell>
          <cell r="C226">
            <v>1.0568</v>
          </cell>
          <cell r="D226">
            <v>1.0601</v>
          </cell>
          <cell r="E226">
            <v>1.0601</v>
          </cell>
          <cell r="F226">
            <v>1.0601</v>
          </cell>
          <cell r="G226">
            <v>1.0601</v>
          </cell>
          <cell r="H226">
            <v>1.0601</v>
          </cell>
          <cell r="I226">
            <v>0.9224</v>
          </cell>
          <cell r="J226">
            <v>0.9224</v>
          </cell>
          <cell r="K226">
            <v>0.9224</v>
          </cell>
          <cell r="L226">
            <v>0.9224</v>
          </cell>
          <cell r="M226">
            <v>0.9224</v>
          </cell>
        </row>
        <row r="227">
          <cell r="A227">
            <v>2.1</v>
          </cell>
          <cell r="B227">
            <v>1.0443</v>
          </cell>
          <cell r="C227">
            <v>1.0443</v>
          </cell>
          <cell r="D227">
            <v>1.0468</v>
          </cell>
          <cell r="E227">
            <v>1.0468</v>
          </cell>
          <cell r="F227">
            <v>1.0468</v>
          </cell>
          <cell r="G227">
            <v>1.0468</v>
          </cell>
          <cell r="H227">
            <v>1.0468</v>
          </cell>
          <cell r="I227">
            <v>0.90959999999999996</v>
          </cell>
          <cell r="J227">
            <v>0.90959999999999996</v>
          </cell>
          <cell r="K227">
            <v>0.90959999999999996</v>
          </cell>
          <cell r="L227">
            <v>0.90959999999999996</v>
          </cell>
          <cell r="M227">
            <v>0.90959999999999996</v>
          </cell>
        </row>
        <row r="228">
          <cell r="A228">
            <v>2.2000000000000002</v>
          </cell>
          <cell r="B228">
            <v>1.0325</v>
          </cell>
          <cell r="C228">
            <v>1.0325</v>
          </cell>
          <cell r="D228">
            <v>1.0342</v>
          </cell>
          <cell r="E228">
            <v>1.0342</v>
          </cell>
          <cell r="F228">
            <v>1.0342</v>
          </cell>
          <cell r="G228">
            <v>1.0342</v>
          </cell>
          <cell r="H228">
            <v>1.0342</v>
          </cell>
          <cell r="I228">
            <v>0.89749999999999996</v>
          </cell>
          <cell r="J228">
            <v>0.89749999999999996</v>
          </cell>
          <cell r="K228">
            <v>0.89749999999999996</v>
          </cell>
          <cell r="L228">
            <v>0.89749999999999996</v>
          </cell>
          <cell r="M228">
            <v>0.89749999999999996</v>
          </cell>
        </row>
        <row r="229">
          <cell r="A229">
            <v>2.2999999999999998</v>
          </cell>
          <cell r="B229">
            <v>1.0209999999999999</v>
          </cell>
          <cell r="C229">
            <v>1.0209999999999999</v>
          </cell>
          <cell r="D229">
            <v>1.0222</v>
          </cell>
          <cell r="E229">
            <v>1.0222</v>
          </cell>
          <cell r="F229">
            <v>1.0222</v>
          </cell>
          <cell r="G229">
            <v>1.0222</v>
          </cell>
          <cell r="H229">
            <v>1.0222</v>
          </cell>
          <cell r="I229">
            <v>0.88619999999999999</v>
          </cell>
          <cell r="J229">
            <v>0.88619999999999999</v>
          </cell>
          <cell r="K229">
            <v>0.88619999999999999</v>
          </cell>
          <cell r="L229">
            <v>0.88619999999999999</v>
          </cell>
          <cell r="M229">
            <v>0.88619999999999999</v>
          </cell>
        </row>
        <row r="230">
          <cell r="A230">
            <v>2.4</v>
          </cell>
          <cell r="B230">
            <v>1.0102</v>
          </cell>
          <cell r="C230">
            <v>1.0102</v>
          </cell>
          <cell r="D230">
            <v>1.0107999999999999</v>
          </cell>
          <cell r="E230">
            <v>1.0107999999999999</v>
          </cell>
          <cell r="F230">
            <v>1.0107999999999999</v>
          </cell>
          <cell r="G230">
            <v>1.0107999999999999</v>
          </cell>
          <cell r="H230">
            <v>1.0107999999999999</v>
          </cell>
          <cell r="I230">
            <v>0.87529999999999997</v>
          </cell>
          <cell r="J230">
            <v>0.87529999999999997</v>
          </cell>
          <cell r="K230">
            <v>0.87529999999999997</v>
          </cell>
          <cell r="L230">
            <v>0.87529999999999997</v>
          </cell>
          <cell r="M230">
            <v>0.87529999999999997</v>
          </cell>
        </row>
        <row r="231">
          <cell r="A231">
            <v>2.5</v>
          </cell>
          <cell r="B231">
            <v>1</v>
          </cell>
          <cell r="C231">
            <v>1</v>
          </cell>
          <cell r="D231">
            <v>1</v>
          </cell>
          <cell r="E231">
            <v>1</v>
          </cell>
          <cell r="F231">
            <v>1</v>
          </cell>
          <cell r="G231">
            <v>1</v>
          </cell>
          <cell r="H231">
            <v>1</v>
          </cell>
          <cell r="I231">
            <v>0.86509999999999998</v>
          </cell>
          <cell r="J231">
            <v>0.86509999999999998</v>
          </cell>
          <cell r="K231">
            <v>0.86509999999999998</v>
          </cell>
          <cell r="L231">
            <v>0.86509999999999998</v>
          </cell>
          <cell r="M231">
            <v>0.86509999999999998</v>
          </cell>
        </row>
        <row r="232">
          <cell r="A232">
            <v>2.6</v>
          </cell>
          <cell r="B232">
            <v>0.99029999999999996</v>
          </cell>
          <cell r="C232">
            <v>0.99029999999999996</v>
          </cell>
          <cell r="D232">
            <v>0.98970000000000002</v>
          </cell>
          <cell r="E232">
            <v>0.98970000000000002</v>
          </cell>
          <cell r="F232">
            <v>0.98970000000000002</v>
          </cell>
          <cell r="G232">
            <v>0.98970000000000002</v>
          </cell>
          <cell r="H232">
            <v>0.98970000000000002</v>
          </cell>
          <cell r="I232">
            <v>0.85529999999999995</v>
          </cell>
          <cell r="J232">
            <v>0.85529999999999995</v>
          </cell>
          <cell r="K232">
            <v>0.85529999999999995</v>
          </cell>
          <cell r="L232">
            <v>0.85529999999999995</v>
          </cell>
          <cell r="M232">
            <v>0.85529999999999995</v>
          </cell>
        </row>
        <row r="233">
          <cell r="A233">
            <v>2.7</v>
          </cell>
          <cell r="B233">
            <v>0.98109999999999997</v>
          </cell>
          <cell r="C233">
            <v>0.98109999999999997</v>
          </cell>
          <cell r="D233">
            <v>0.97989999999999999</v>
          </cell>
          <cell r="E233">
            <v>0.97989999999999999</v>
          </cell>
          <cell r="F233">
            <v>0.97989999999999999</v>
          </cell>
          <cell r="G233">
            <v>0.97989999999999999</v>
          </cell>
          <cell r="H233">
            <v>0.97989999999999999</v>
          </cell>
          <cell r="I233">
            <v>0.84599999999999997</v>
          </cell>
          <cell r="J233">
            <v>0.84599999999999997</v>
          </cell>
          <cell r="K233">
            <v>0.84599999999999997</v>
          </cell>
          <cell r="L233">
            <v>0.84599999999999997</v>
          </cell>
          <cell r="M233">
            <v>0.84599999999999997</v>
          </cell>
        </row>
        <row r="234">
          <cell r="A234">
            <v>2.8</v>
          </cell>
          <cell r="B234">
            <v>0.97240000000000004</v>
          </cell>
          <cell r="C234">
            <v>0.97240000000000004</v>
          </cell>
          <cell r="D234">
            <v>0.97060000000000002</v>
          </cell>
          <cell r="E234">
            <v>0.97060000000000002</v>
          </cell>
          <cell r="F234">
            <v>0.97060000000000002</v>
          </cell>
          <cell r="G234">
            <v>0.97060000000000002</v>
          </cell>
          <cell r="H234">
            <v>0.97060000000000002</v>
          </cell>
          <cell r="I234">
            <v>0.83709999999999996</v>
          </cell>
          <cell r="J234">
            <v>0.83709999999999996</v>
          </cell>
          <cell r="K234">
            <v>0.83709999999999996</v>
          </cell>
          <cell r="L234">
            <v>0.83709999999999996</v>
          </cell>
          <cell r="M234">
            <v>0.83709999999999996</v>
          </cell>
        </row>
        <row r="235">
          <cell r="A235">
            <v>2.9</v>
          </cell>
          <cell r="B235">
            <v>0.96419999999999995</v>
          </cell>
          <cell r="C235">
            <v>0.96419999999999995</v>
          </cell>
          <cell r="D235">
            <v>0.96179999999999999</v>
          </cell>
          <cell r="E235">
            <v>0.96179999999999999</v>
          </cell>
          <cell r="F235">
            <v>0.96179999999999999</v>
          </cell>
          <cell r="G235">
            <v>0.96179999999999999</v>
          </cell>
          <cell r="H235">
            <v>0.96179999999999999</v>
          </cell>
          <cell r="I235">
            <v>0.82850000000000001</v>
          </cell>
          <cell r="J235">
            <v>0.82850000000000001</v>
          </cell>
          <cell r="K235">
            <v>0.82850000000000001</v>
          </cell>
          <cell r="L235">
            <v>0.82850000000000001</v>
          </cell>
          <cell r="M235">
            <v>0.82850000000000001</v>
          </cell>
        </row>
        <row r="236">
          <cell r="A236">
            <v>3</v>
          </cell>
          <cell r="B236">
            <v>0.95640000000000003</v>
          </cell>
          <cell r="C236">
            <v>0.95640000000000003</v>
          </cell>
          <cell r="D236">
            <v>0.95340000000000003</v>
          </cell>
          <cell r="E236">
            <v>0.95340000000000003</v>
          </cell>
          <cell r="F236">
            <v>0.95340000000000003</v>
          </cell>
          <cell r="G236">
            <v>0.95340000000000003</v>
          </cell>
          <cell r="H236">
            <v>0.95340000000000003</v>
          </cell>
          <cell r="I236">
            <v>0.82040000000000002</v>
          </cell>
          <cell r="J236">
            <v>0.82040000000000002</v>
          </cell>
          <cell r="K236">
            <v>0.82040000000000002</v>
          </cell>
          <cell r="L236">
            <v>0.82040000000000002</v>
          </cell>
          <cell r="M236">
            <v>0.82040000000000002</v>
          </cell>
        </row>
        <row r="237">
          <cell r="A237">
            <v>3.1</v>
          </cell>
          <cell r="B237">
            <v>0.94899999999999995</v>
          </cell>
          <cell r="C237">
            <v>0.94899999999999995</v>
          </cell>
          <cell r="D237">
            <v>0.94550000000000001</v>
          </cell>
          <cell r="E237">
            <v>0.94550000000000001</v>
          </cell>
          <cell r="F237">
            <v>0.94550000000000001</v>
          </cell>
          <cell r="G237">
            <v>0.94550000000000001</v>
          </cell>
          <cell r="H237">
            <v>0.94550000000000001</v>
          </cell>
          <cell r="I237">
            <v>0.81259999999999999</v>
          </cell>
          <cell r="J237">
            <v>0.81259999999999999</v>
          </cell>
          <cell r="K237">
            <v>0.81259999999999999</v>
          </cell>
          <cell r="L237">
            <v>0.81259999999999999</v>
          </cell>
          <cell r="M237">
            <v>0.81259999999999999</v>
          </cell>
        </row>
        <row r="238">
          <cell r="A238">
            <v>3.2</v>
          </cell>
          <cell r="B238">
            <v>0.94199999999999995</v>
          </cell>
          <cell r="C238">
            <v>0.94199999999999995</v>
          </cell>
          <cell r="D238">
            <v>0.93789999999999996</v>
          </cell>
          <cell r="E238">
            <v>0.93789999999999996</v>
          </cell>
          <cell r="F238">
            <v>0.93789999999999996</v>
          </cell>
          <cell r="G238">
            <v>0.93789999999999996</v>
          </cell>
          <cell r="H238">
            <v>0.93789999999999996</v>
          </cell>
          <cell r="I238">
            <v>0.80530000000000002</v>
          </cell>
          <cell r="J238">
            <v>0.80530000000000002</v>
          </cell>
          <cell r="K238">
            <v>0.80530000000000002</v>
          </cell>
          <cell r="L238">
            <v>0.80530000000000002</v>
          </cell>
          <cell r="M238">
            <v>0.80530000000000002</v>
          </cell>
        </row>
        <row r="239">
          <cell r="A239">
            <v>3.3</v>
          </cell>
          <cell r="B239">
            <v>0.93540000000000001</v>
          </cell>
          <cell r="C239">
            <v>0.93540000000000001</v>
          </cell>
          <cell r="D239">
            <v>0.93069999999999997</v>
          </cell>
          <cell r="E239">
            <v>0.93069999999999997</v>
          </cell>
          <cell r="F239">
            <v>0.93069999999999997</v>
          </cell>
          <cell r="G239">
            <v>0.93069999999999997</v>
          </cell>
          <cell r="H239">
            <v>0.93069999999999997</v>
          </cell>
          <cell r="I239">
            <v>0.79820000000000002</v>
          </cell>
          <cell r="J239">
            <v>0.79820000000000002</v>
          </cell>
          <cell r="K239">
            <v>0.79820000000000002</v>
          </cell>
          <cell r="L239">
            <v>0.79820000000000002</v>
          </cell>
          <cell r="M239">
            <v>0.79820000000000002</v>
          </cell>
        </row>
        <row r="240">
          <cell r="A240">
            <v>3.4</v>
          </cell>
          <cell r="B240">
            <v>0.92920000000000003</v>
          </cell>
          <cell r="C240">
            <v>0.92920000000000003</v>
          </cell>
          <cell r="D240">
            <v>0.92390000000000005</v>
          </cell>
          <cell r="E240">
            <v>0.92390000000000005</v>
          </cell>
          <cell r="F240">
            <v>0.92390000000000005</v>
          </cell>
          <cell r="G240">
            <v>0.92390000000000005</v>
          </cell>
          <cell r="H240">
            <v>0.92390000000000005</v>
          </cell>
          <cell r="I240">
            <v>0.79139999999999999</v>
          </cell>
          <cell r="J240">
            <v>0.79139999999999999</v>
          </cell>
          <cell r="K240">
            <v>0.79139999999999999</v>
          </cell>
          <cell r="L240">
            <v>0.79139999999999999</v>
          </cell>
          <cell r="M240">
            <v>0.79139999999999999</v>
          </cell>
        </row>
        <row r="241">
          <cell r="A241">
            <v>3.5</v>
          </cell>
          <cell r="B241">
            <v>0.9234</v>
          </cell>
          <cell r="C241">
            <v>0.9234</v>
          </cell>
          <cell r="D241">
            <v>0.91749999999999998</v>
          </cell>
          <cell r="E241">
            <v>0.91749999999999998</v>
          </cell>
          <cell r="F241">
            <v>0.91749999999999998</v>
          </cell>
          <cell r="G241">
            <v>0.91749999999999998</v>
          </cell>
          <cell r="H241">
            <v>0.91749999999999998</v>
          </cell>
          <cell r="I241">
            <v>0.78490000000000004</v>
          </cell>
          <cell r="J241">
            <v>0.78490000000000004</v>
          </cell>
          <cell r="K241">
            <v>0.78490000000000004</v>
          </cell>
          <cell r="L241">
            <v>0.78490000000000004</v>
          </cell>
          <cell r="M241">
            <v>0.78490000000000004</v>
          </cell>
        </row>
        <row r="242">
          <cell r="A242">
            <v>3.6</v>
          </cell>
          <cell r="B242">
            <v>0.91790000000000005</v>
          </cell>
          <cell r="C242">
            <v>0.91790000000000005</v>
          </cell>
          <cell r="D242">
            <v>0.91139999999999999</v>
          </cell>
          <cell r="E242">
            <v>0.91139999999999999</v>
          </cell>
          <cell r="F242">
            <v>0.91139999999999999</v>
          </cell>
          <cell r="G242">
            <v>0.91139999999999999</v>
          </cell>
          <cell r="H242">
            <v>0.91139999999999999</v>
          </cell>
          <cell r="I242">
            <v>0.77880000000000005</v>
          </cell>
          <cell r="J242">
            <v>0.77880000000000005</v>
          </cell>
          <cell r="K242">
            <v>0.77880000000000005</v>
          </cell>
          <cell r="L242">
            <v>0.77880000000000005</v>
          </cell>
          <cell r="M242">
            <v>0.77880000000000005</v>
          </cell>
        </row>
        <row r="243">
          <cell r="A243">
            <v>3.7</v>
          </cell>
          <cell r="B243">
            <v>0.91269999999999996</v>
          </cell>
          <cell r="C243">
            <v>0.91269999999999996</v>
          </cell>
          <cell r="D243">
            <v>0.90559999999999996</v>
          </cell>
          <cell r="E243">
            <v>0.90559999999999996</v>
          </cell>
          <cell r="F243">
            <v>0.90559999999999996</v>
          </cell>
          <cell r="G243">
            <v>0.90559999999999996</v>
          </cell>
          <cell r="H243">
            <v>0.90559999999999996</v>
          </cell>
          <cell r="I243">
            <v>0.77300000000000002</v>
          </cell>
          <cell r="J243">
            <v>0.77300000000000002</v>
          </cell>
          <cell r="K243">
            <v>0.77300000000000002</v>
          </cell>
          <cell r="L243">
            <v>0.77300000000000002</v>
          </cell>
          <cell r="M243">
            <v>0.77300000000000002</v>
          </cell>
        </row>
        <row r="244">
          <cell r="A244">
            <v>3.8</v>
          </cell>
          <cell r="B244">
            <v>0.90780000000000005</v>
          </cell>
          <cell r="C244">
            <v>0.90780000000000005</v>
          </cell>
          <cell r="D244">
            <v>0.90010000000000001</v>
          </cell>
          <cell r="E244">
            <v>0.90010000000000001</v>
          </cell>
          <cell r="F244">
            <v>0.90010000000000001</v>
          </cell>
          <cell r="G244">
            <v>0.90010000000000001</v>
          </cell>
          <cell r="H244">
            <v>0.90010000000000001</v>
          </cell>
          <cell r="I244">
            <v>0.76739999999999997</v>
          </cell>
          <cell r="J244">
            <v>0.76739999999999997</v>
          </cell>
          <cell r="K244">
            <v>0.76739999999999997</v>
          </cell>
          <cell r="L244">
            <v>0.76739999999999997</v>
          </cell>
          <cell r="M244">
            <v>0.76739999999999997</v>
          </cell>
        </row>
        <row r="245">
          <cell r="A245">
            <v>3.9</v>
          </cell>
          <cell r="B245">
            <v>0.9032</v>
          </cell>
          <cell r="C245">
            <v>0.9032</v>
          </cell>
          <cell r="D245">
            <v>0.89490000000000003</v>
          </cell>
          <cell r="E245">
            <v>0.89490000000000003</v>
          </cell>
          <cell r="F245">
            <v>0.89490000000000003</v>
          </cell>
          <cell r="G245">
            <v>0.89490000000000003</v>
          </cell>
          <cell r="H245">
            <v>0.89490000000000003</v>
          </cell>
          <cell r="I245">
            <v>0.7621</v>
          </cell>
          <cell r="J245">
            <v>0.7621</v>
          </cell>
          <cell r="K245">
            <v>0.7621</v>
          </cell>
          <cell r="L245">
            <v>0.7621</v>
          </cell>
          <cell r="M245">
            <v>0.7621</v>
          </cell>
        </row>
        <row r="246">
          <cell r="A246">
            <v>4</v>
          </cell>
          <cell r="B246">
            <v>0.89890000000000003</v>
          </cell>
          <cell r="C246">
            <v>0.89890000000000003</v>
          </cell>
          <cell r="D246">
            <v>0.89</v>
          </cell>
          <cell r="E246">
            <v>0.89</v>
          </cell>
          <cell r="F246">
            <v>0.89</v>
          </cell>
          <cell r="G246">
            <v>0.89</v>
          </cell>
          <cell r="H246">
            <v>0.89</v>
          </cell>
          <cell r="I246">
            <v>0.7571</v>
          </cell>
          <cell r="J246">
            <v>0.7571</v>
          </cell>
          <cell r="K246">
            <v>0.7571</v>
          </cell>
          <cell r="L246">
            <v>0.7571</v>
          </cell>
          <cell r="M246">
            <v>0.7571</v>
          </cell>
        </row>
        <row r="247">
          <cell r="A247">
            <v>4.0999999999999996</v>
          </cell>
          <cell r="B247">
            <v>0.89480000000000004</v>
          </cell>
          <cell r="C247">
            <v>0.89480000000000004</v>
          </cell>
          <cell r="D247">
            <v>0.88539999999999996</v>
          </cell>
          <cell r="E247">
            <v>0.88539999999999996</v>
          </cell>
          <cell r="F247">
            <v>0.88539999999999996</v>
          </cell>
          <cell r="G247">
            <v>0.88539999999999996</v>
          </cell>
          <cell r="H247">
            <v>0.88539999999999996</v>
          </cell>
          <cell r="I247">
            <v>0.75229999999999997</v>
          </cell>
          <cell r="J247">
            <v>0.75229999999999997</v>
          </cell>
          <cell r="K247">
            <v>0.75229999999999997</v>
          </cell>
          <cell r="L247">
            <v>0.75229999999999997</v>
          </cell>
          <cell r="M247">
            <v>0.75229999999999997</v>
          </cell>
        </row>
        <row r="248">
          <cell r="A248">
            <v>4.2</v>
          </cell>
          <cell r="B248">
            <v>0.89100000000000001</v>
          </cell>
          <cell r="C248">
            <v>0.89100000000000001</v>
          </cell>
          <cell r="D248">
            <v>0.88109999999999999</v>
          </cell>
          <cell r="E248">
            <v>0.88109999999999999</v>
          </cell>
          <cell r="F248">
            <v>0.88109999999999999</v>
          </cell>
          <cell r="G248">
            <v>0.88109999999999999</v>
          </cell>
          <cell r="H248">
            <v>0.88109999999999999</v>
          </cell>
          <cell r="I248">
            <v>0.74780000000000002</v>
          </cell>
          <cell r="J248">
            <v>0.74780000000000002</v>
          </cell>
          <cell r="K248">
            <v>0.74780000000000002</v>
          </cell>
          <cell r="L248">
            <v>0.74780000000000002</v>
          </cell>
          <cell r="M248">
            <v>0.74780000000000002</v>
          </cell>
        </row>
        <row r="249">
          <cell r="A249">
            <v>4.3</v>
          </cell>
          <cell r="B249">
            <v>0.88739999999999997</v>
          </cell>
          <cell r="C249">
            <v>0.88739999999999997</v>
          </cell>
          <cell r="D249">
            <v>0.877</v>
          </cell>
          <cell r="E249">
            <v>0.877</v>
          </cell>
          <cell r="F249">
            <v>0.877</v>
          </cell>
          <cell r="G249">
            <v>0.877</v>
          </cell>
          <cell r="H249">
            <v>0.877</v>
          </cell>
          <cell r="I249">
            <v>0.74329999999999996</v>
          </cell>
          <cell r="J249">
            <v>0.74329999999999996</v>
          </cell>
          <cell r="K249">
            <v>0.74329999999999996</v>
          </cell>
          <cell r="L249">
            <v>0.74329999999999996</v>
          </cell>
          <cell r="M249">
            <v>0.74329999999999996</v>
          </cell>
        </row>
        <row r="250">
          <cell r="A250">
            <v>4.4000000000000004</v>
          </cell>
          <cell r="B250">
            <v>0.88400000000000001</v>
          </cell>
          <cell r="C250">
            <v>0.88400000000000001</v>
          </cell>
          <cell r="D250">
            <v>0.87309999999999999</v>
          </cell>
          <cell r="E250">
            <v>0.87309999999999999</v>
          </cell>
          <cell r="F250">
            <v>0.87309999999999999</v>
          </cell>
          <cell r="G250">
            <v>0.87309999999999999</v>
          </cell>
          <cell r="H250">
            <v>0.87309999999999999</v>
          </cell>
          <cell r="I250">
            <v>0.73909999999999998</v>
          </cell>
          <cell r="J250">
            <v>0.73909999999999998</v>
          </cell>
          <cell r="K250">
            <v>0.73909999999999998</v>
          </cell>
          <cell r="L250">
            <v>0.73909999999999998</v>
          </cell>
          <cell r="M250">
            <v>0.73909999999999998</v>
          </cell>
        </row>
        <row r="251">
          <cell r="A251">
            <v>4.5</v>
          </cell>
          <cell r="B251">
            <v>0.88080000000000003</v>
          </cell>
          <cell r="C251">
            <v>0.88080000000000003</v>
          </cell>
          <cell r="D251">
            <v>0.86939999999999995</v>
          </cell>
          <cell r="E251">
            <v>0.86939999999999995</v>
          </cell>
          <cell r="F251">
            <v>0.86939999999999995</v>
          </cell>
          <cell r="G251">
            <v>0.86939999999999995</v>
          </cell>
          <cell r="H251">
            <v>0.86939999999999995</v>
          </cell>
          <cell r="I251">
            <v>0.73499999999999999</v>
          </cell>
          <cell r="J251">
            <v>0.73499999999999999</v>
          </cell>
          <cell r="K251">
            <v>0.73499999999999999</v>
          </cell>
          <cell r="L251">
            <v>0.73499999999999999</v>
          </cell>
          <cell r="M251">
            <v>0.73499999999999999</v>
          </cell>
        </row>
        <row r="252">
          <cell r="A252">
            <v>4.5999999999999996</v>
          </cell>
          <cell r="B252">
            <v>0.87780000000000002</v>
          </cell>
          <cell r="C252">
            <v>0.87780000000000002</v>
          </cell>
          <cell r="D252">
            <v>0.8659</v>
          </cell>
          <cell r="E252">
            <v>0.8659</v>
          </cell>
          <cell r="F252">
            <v>0.8659</v>
          </cell>
          <cell r="G252">
            <v>0.8659</v>
          </cell>
          <cell r="H252">
            <v>0.8659</v>
          </cell>
          <cell r="I252">
            <v>0.73109999999999997</v>
          </cell>
          <cell r="J252">
            <v>0.73109999999999997</v>
          </cell>
          <cell r="K252">
            <v>0.73109999999999997</v>
          </cell>
          <cell r="L252">
            <v>0.73109999999999997</v>
          </cell>
          <cell r="M252">
            <v>0.73109999999999997</v>
          </cell>
        </row>
        <row r="253">
          <cell r="A253">
            <v>4.7</v>
          </cell>
          <cell r="B253">
            <v>0.875</v>
          </cell>
          <cell r="C253">
            <v>0.875</v>
          </cell>
          <cell r="D253">
            <v>0.86260000000000003</v>
          </cell>
          <cell r="E253">
            <v>0.86260000000000003</v>
          </cell>
          <cell r="F253">
            <v>0.86260000000000003</v>
          </cell>
          <cell r="G253">
            <v>0.86260000000000003</v>
          </cell>
          <cell r="H253">
            <v>0.86260000000000003</v>
          </cell>
          <cell r="I253">
            <v>0.72750000000000004</v>
          </cell>
          <cell r="J253">
            <v>0.72750000000000004</v>
          </cell>
          <cell r="K253">
            <v>0.72750000000000004</v>
          </cell>
          <cell r="L253">
            <v>0.72750000000000004</v>
          </cell>
          <cell r="M253">
            <v>0.72750000000000004</v>
          </cell>
        </row>
        <row r="254">
          <cell r="A254">
            <v>4.8</v>
          </cell>
          <cell r="B254">
            <v>0.87229999999999996</v>
          </cell>
          <cell r="C254">
            <v>0.87229999999999996</v>
          </cell>
          <cell r="D254">
            <v>0.85950000000000004</v>
          </cell>
          <cell r="E254">
            <v>0.85950000000000004</v>
          </cell>
          <cell r="F254">
            <v>0.85950000000000004</v>
          </cell>
          <cell r="G254">
            <v>0.85950000000000004</v>
          </cell>
          <cell r="H254">
            <v>0.85950000000000004</v>
          </cell>
          <cell r="I254">
            <v>0.72399999999999998</v>
          </cell>
          <cell r="J254">
            <v>0.72399999999999998</v>
          </cell>
          <cell r="K254">
            <v>0.72399999999999998</v>
          </cell>
          <cell r="L254">
            <v>0.72399999999999998</v>
          </cell>
          <cell r="M254">
            <v>0.72399999999999998</v>
          </cell>
        </row>
        <row r="255">
          <cell r="A255">
            <v>4.9000000000000004</v>
          </cell>
          <cell r="B255">
            <v>0.86980000000000002</v>
          </cell>
          <cell r="C255">
            <v>0.86980000000000002</v>
          </cell>
          <cell r="D255">
            <v>0.85660000000000003</v>
          </cell>
          <cell r="E255">
            <v>0.85660000000000003</v>
          </cell>
          <cell r="F255">
            <v>0.85660000000000003</v>
          </cell>
          <cell r="G255">
            <v>0.85660000000000003</v>
          </cell>
          <cell r="H255">
            <v>0.85660000000000003</v>
          </cell>
          <cell r="I255">
            <v>0.7208</v>
          </cell>
          <cell r="J255">
            <v>0.7208</v>
          </cell>
          <cell r="K255">
            <v>0.7208</v>
          </cell>
          <cell r="L255">
            <v>0.7208</v>
          </cell>
          <cell r="M255">
            <v>0.7208</v>
          </cell>
        </row>
        <row r="256">
          <cell r="A256">
            <v>5</v>
          </cell>
          <cell r="B256">
            <v>0.86739999999999995</v>
          </cell>
          <cell r="C256">
            <v>0.86739999999999995</v>
          </cell>
          <cell r="D256">
            <v>0.8538</v>
          </cell>
          <cell r="E256">
            <v>0.8538</v>
          </cell>
          <cell r="F256">
            <v>0.8538</v>
          </cell>
          <cell r="G256">
            <v>0.8538</v>
          </cell>
          <cell r="H256">
            <v>0.8538</v>
          </cell>
          <cell r="I256">
            <v>0.71760000000000002</v>
          </cell>
          <cell r="J256">
            <v>0.71760000000000002</v>
          </cell>
          <cell r="K256">
            <v>0.71760000000000002</v>
          </cell>
          <cell r="L256">
            <v>0.71760000000000002</v>
          </cell>
          <cell r="M256">
            <v>0.71760000000000002</v>
          </cell>
        </row>
        <row r="257">
          <cell r="A257">
            <v>5.0999999999999996</v>
          </cell>
          <cell r="B257">
            <v>0.86519999999999997</v>
          </cell>
          <cell r="C257">
            <v>0.86519999999999997</v>
          </cell>
          <cell r="D257">
            <v>0.85109999999999997</v>
          </cell>
          <cell r="E257">
            <v>0.85109999999999997</v>
          </cell>
          <cell r="F257">
            <v>0.85109999999999997</v>
          </cell>
          <cell r="G257">
            <v>0.85109999999999997</v>
          </cell>
          <cell r="H257">
            <v>0.85109999999999997</v>
          </cell>
          <cell r="I257">
            <v>0.7147</v>
          </cell>
          <cell r="J257">
            <v>0.7147</v>
          </cell>
          <cell r="K257">
            <v>0.7147</v>
          </cell>
          <cell r="L257">
            <v>0.7147</v>
          </cell>
          <cell r="M257">
            <v>0.7147</v>
          </cell>
        </row>
        <row r="258">
          <cell r="A258">
            <v>5.2</v>
          </cell>
          <cell r="B258">
            <v>0.86309999999999998</v>
          </cell>
          <cell r="C258">
            <v>0.86309999999999998</v>
          </cell>
          <cell r="D258">
            <v>0.84860000000000002</v>
          </cell>
          <cell r="E258">
            <v>0.84860000000000002</v>
          </cell>
          <cell r="F258">
            <v>0.84860000000000002</v>
          </cell>
          <cell r="G258">
            <v>0.84860000000000002</v>
          </cell>
          <cell r="H258">
            <v>0.84860000000000002</v>
          </cell>
          <cell r="I258">
            <v>0.71189999999999998</v>
          </cell>
          <cell r="J258">
            <v>0.71189999999999998</v>
          </cell>
          <cell r="K258">
            <v>0.71189999999999998</v>
          </cell>
          <cell r="L258">
            <v>0.71189999999999998</v>
          </cell>
          <cell r="M258">
            <v>0.71189999999999998</v>
          </cell>
        </row>
        <row r="259">
          <cell r="A259">
            <v>5.3</v>
          </cell>
          <cell r="B259">
            <v>0.86119999999999997</v>
          </cell>
          <cell r="C259">
            <v>0.86119999999999997</v>
          </cell>
          <cell r="D259">
            <v>0.84619999999999995</v>
          </cell>
          <cell r="E259">
            <v>0.84619999999999995</v>
          </cell>
          <cell r="F259">
            <v>0.84619999999999995</v>
          </cell>
          <cell r="G259">
            <v>0.84619999999999995</v>
          </cell>
          <cell r="H259">
            <v>0.84619999999999995</v>
          </cell>
          <cell r="I259">
            <v>0.70909999999999995</v>
          </cell>
          <cell r="J259">
            <v>0.70909999999999995</v>
          </cell>
          <cell r="K259">
            <v>0.70909999999999995</v>
          </cell>
          <cell r="L259">
            <v>0.70909999999999995</v>
          </cell>
          <cell r="M259">
            <v>0.70909999999999995</v>
          </cell>
        </row>
        <row r="260">
          <cell r="A260">
            <v>5.4</v>
          </cell>
          <cell r="B260">
            <v>0.85940000000000005</v>
          </cell>
          <cell r="C260">
            <v>0.85940000000000005</v>
          </cell>
          <cell r="D260">
            <v>0.84389999999999998</v>
          </cell>
          <cell r="E260">
            <v>0.84389999999999998</v>
          </cell>
          <cell r="F260">
            <v>0.84389999999999998</v>
          </cell>
          <cell r="G260">
            <v>0.84389999999999998</v>
          </cell>
          <cell r="H260">
            <v>0.84389999999999998</v>
          </cell>
          <cell r="I260">
            <v>0.70650000000000002</v>
          </cell>
          <cell r="J260">
            <v>0.70650000000000002</v>
          </cell>
          <cell r="K260">
            <v>0.70650000000000002</v>
          </cell>
          <cell r="L260">
            <v>0.70650000000000002</v>
          </cell>
          <cell r="M260">
            <v>0.70650000000000002</v>
          </cell>
        </row>
        <row r="261">
          <cell r="A261">
            <v>5.5</v>
          </cell>
          <cell r="B261">
            <v>0.85770000000000002</v>
          </cell>
          <cell r="C261">
            <v>0.85770000000000002</v>
          </cell>
          <cell r="D261">
            <v>0.84179999999999999</v>
          </cell>
          <cell r="E261">
            <v>0.84179999999999999</v>
          </cell>
          <cell r="F261">
            <v>0.84179999999999999</v>
          </cell>
          <cell r="G261">
            <v>0.84179999999999999</v>
          </cell>
          <cell r="H261">
            <v>0.84179999999999999</v>
          </cell>
          <cell r="I261">
            <v>0.70399999999999996</v>
          </cell>
          <cell r="J261">
            <v>0.70399999999999996</v>
          </cell>
          <cell r="K261">
            <v>0.70399999999999996</v>
          </cell>
          <cell r="L261">
            <v>0.70399999999999996</v>
          </cell>
          <cell r="M261">
            <v>0.70399999999999996</v>
          </cell>
        </row>
        <row r="262">
          <cell r="A262">
            <v>5.6</v>
          </cell>
          <cell r="B262">
            <v>0.85599999999999998</v>
          </cell>
          <cell r="C262">
            <v>0.85599999999999998</v>
          </cell>
          <cell r="D262">
            <v>0.83979999999999999</v>
          </cell>
          <cell r="E262">
            <v>0.83979999999999999</v>
          </cell>
          <cell r="F262">
            <v>0.83979999999999999</v>
          </cell>
          <cell r="G262">
            <v>0.83979999999999999</v>
          </cell>
          <cell r="H262">
            <v>0.83979999999999999</v>
          </cell>
          <cell r="I262">
            <v>0.7016</v>
          </cell>
          <cell r="J262">
            <v>0.7016</v>
          </cell>
          <cell r="K262">
            <v>0.7016</v>
          </cell>
          <cell r="L262">
            <v>0.7016</v>
          </cell>
          <cell r="M262">
            <v>0.7016</v>
          </cell>
        </row>
        <row r="263">
          <cell r="A263">
            <v>5.7</v>
          </cell>
          <cell r="B263">
            <v>0.85440000000000005</v>
          </cell>
          <cell r="C263">
            <v>0.85440000000000005</v>
          </cell>
          <cell r="D263">
            <v>0.83789999999999998</v>
          </cell>
          <cell r="E263">
            <v>0.83789999999999998</v>
          </cell>
          <cell r="F263">
            <v>0.83789999999999998</v>
          </cell>
          <cell r="G263">
            <v>0.83789999999999998</v>
          </cell>
          <cell r="H263">
            <v>0.83789999999999998</v>
          </cell>
          <cell r="I263">
            <v>0.69940000000000002</v>
          </cell>
          <cell r="J263">
            <v>0.69940000000000002</v>
          </cell>
          <cell r="K263">
            <v>0.69940000000000002</v>
          </cell>
          <cell r="L263">
            <v>0.69940000000000002</v>
          </cell>
          <cell r="M263">
            <v>0.69940000000000002</v>
          </cell>
        </row>
        <row r="264">
          <cell r="A264">
            <v>5.8</v>
          </cell>
          <cell r="B264">
            <v>0.85289999999999999</v>
          </cell>
          <cell r="C264">
            <v>0.85289999999999999</v>
          </cell>
          <cell r="D264">
            <v>0.83599999999999997</v>
          </cell>
          <cell r="E264">
            <v>0.83599999999999997</v>
          </cell>
          <cell r="F264">
            <v>0.83599999999999997</v>
          </cell>
          <cell r="G264">
            <v>0.83599999999999997</v>
          </cell>
          <cell r="H264">
            <v>0.83599999999999997</v>
          </cell>
          <cell r="I264">
            <v>0.69720000000000004</v>
          </cell>
          <cell r="J264">
            <v>0.69720000000000004</v>
          </cell>
          <cell r="K264">
            <v>0.69720000000000004</v>
          </cell>
          <cell r="L264">
            <v>0.69720000000000004</v>
          </cell>
          <cell r="M264">
            <v>0.69720000000000004</v>
          </cell>
        </row>
        <row r="265">
          <cell r="A265">
            <v>5.9</v>
          </cell>
          <cell r="B265">
            <v>0.85150000000000003</v>
          </cell>
          <cell r="C265">
            <v>0.85150000000000003</v>
          </cell>
          <cell r="D265">
            <v>0.83430000000000004</v>
          </cell>
          <cell r="E265">
            <v>0.83430000000000004</v>
          </cell>
          <cell r="F265">
            <v>0.83430000000000004</v>
          </cell>
          <cell r="G265">
            <v>0.83430000000000004</v>
          </cell>
          <cell r="H265">
            <v>0.83430000000000004</v>
          </cell>
          <cell r="I265">
            <v>0.69520000000000004</v>
          </cell>
          <cell r="J265">
            <v>0.69520000000000004</v>
          </cell>
          <cell r="K265">
            <v>0.69520000000000004</v>
          </cell>
          <cell r="L265">
            <v>0.69520000000000004</v>
          </cell>
          <cell r="M265">
            <v>0.69520000000000004</v>
          </cell>
        </row>
        <row r="266">
          <cell r="A266">
            <v>6</v>
          </cell>
          <cell r="B266">
            <v>0.85019999999999996</v>
          </cell>
          <cell r="C266">
            <v>0.85019999999999996</v>
          </cell>
          <cell r="D266">
            <v>0.8327</v>
          </cell>
          <cell r="E266">
            <v>0.8327</v>
          </cell>
          <cell r="F266">
            <v>0.8327</v>
          </cell>
          <cell r="G266">
            <v>0.8327</v>
          </cell>
          <cell r="H266">
            <v>0.8327</v>
          </cell>
          <cell r="I266">
            <v>0.69320000000000004</v>
          </cell>
          <cell r="J266">
            <v>0.69320000000000004</v>
          </cell>
          <cell r="K266">
            <v>0.69320000000000004</v>
          </cell>
          <cell r="L266">
            <v>0.69320000000000004</v>
          </cell>
          <cell r="M266">
            <v>0.69320000000000004</v>
          </cell>
        </row>
        <row r="267">
          <cell r="A267">
            <v>6.1</v>
          </cell>
          <cell r="B267">
            <v>0.84899999999999998</v>
          </cell>
          <cell r="C267">
            <v>0.84899999999999998</v>
          </cell>
          <cell r="D267">
            <v>0.83109999999999995</v>
          </cell>
          <cell r="E267">
            <v>0.83109999999999995</v>
          </cell>
          <cell r="F267">
            <v>0.83109999999999995</v>
          </cell>
          <cell r="G267">
            <v>0.83109999999999995</v>
          </cell>
          <cell r="H267">
            <v>0.83109999999999995</v>
          </cell>
          <cell r="I267">
            <v>0.69130000000000003</v>
          </cell>
          <cell r="J267">
            <v>0.69130000000000003</v>
          </cell>
          <cell r="K267">
            <v>0.69130000000000003</v>
          </cell>
          <cell r="L267">
            <v>0.69130000000000003</v>
          </cell>
          <cell r="M267">
            <v>0.69130000000000003</v>
          </cell>
        </row>
        <row r="268">
          <cell r="A268">
            <v>6.2</v>
          </cell>
          <cell r="B268">
            <v>0.8478</v>
          </cell>
          <cell r="C268">
            <v>0.8478</v>
          </cell>
          <cell r="D268">
            <v>0.8296</v>
          </cell>
          <cell r="E268">
            <v>0.8296</v>
          </cell>
          <cell r="F268">
            <v>0.8296</v>
          </cell>
          <cell r="G268">
            <v>0.8296</v>
          </cell>
          <cell r="H268">
            <v>0.8296</v>
          </cell>
          <cell r="I268">
            <v>0.68940000000000001</v>
          </cell>
          <cell r="J268">
            <v>0.68940000000000001</v>
          </cell>
          <cell r="K268">
            <v>0.68940000000000001</v>
          </cell>
          <cell r="L268">
            <v>0.68940000000000001</v>
          </cell>
          <cell r="M268">
            <v>0.68940000000000001</v>
          </cell>
        </row>
        <row r="269">
          <cell r="A269">
            <v>6.3</v>
          </cell>
          <cell r="B269">
            <v>0.84670000000000001</v>
          </cell>
          <cell r="C269">
            <v>0.84670000000000001</v>
          </cell>
          <cell r="D269">
            <v>0.82820000000000005</v>
          </cell>
          <cell r="E269">
            <v>0.82820000000000005</v>
          </cell>
          <cell r="F269">
            <v>0.82820000000000005</v>
          </cell>
          <cell r="G269">
            <v>0.82820000000000005</v>
          </cell>
          <cell r="H269">
            <v>0.82820000000000005</v>
          </cell>
          <cell r="I269">
            <v>0.68769999999999998</v>
          </cell>
          <cell r="J269">
            <v>0.68769999999999998</v>
          </cell>
          <cell r="K269">
            <v>0.68769999999999998</v>
          </cell>
          <cell r="L269">
            <v>0.68769999999999998</v>
          </cell>
          <cell r="M269">
            <v>0.68769999999999998</v>
          </cell>
        </row>
        <row r="270">
          <cell r="A270">
            <v>6.4</v>
          </cell>
          <cell r="B270">
            <v>0.84570000000000001</v>
          </cell>
          <cell r="C270">
            <v>0.84570000000000001</v>
          </cell>
          <cell r="D270">
            <v>0.82689999999999997</v>
          </cell>
          <cell r="E270">
            <v>0.82689999999999997</v>
          </cell>
          <cell r="F270">
            <v>0.82689999999999997</v>
          </cell>
          <cell r="G270">
            <v>0.82689999999999997</v>
          </cell>
          <cell r="H270">
            <v>0.82689999999999997</v>
          </cell>
          <cell r="I270">
            <v>0.68610000000000004</v>
          </cell>
          <cell r="J270">
            <v>0.68610000000000004</v>
          </cell>
          <cell r="K270">
            <v>0.68610000000000004</v>
          </cell>
          <cell r="L270">
            <v>0.68610000000000004</v>
          </cell>
          <cell r="M270">
            <v>0.68610000000000004</v>
          </cell>
        </row>
        <row r="271">
          <cell r="A271">
            <v>6.5</v>
          </cell>
          <cell r="B271">
            <v>0.84470000000000001</v>
          </cell>
          <cell r="C271">
            <v>0.84470000000000001</v>
          </cell>
          <cell r="D271">
            <v>0.82569999999999999</v>
          </cell>
          <cell r="E271">
            <v>0.82569999999999999</v>
          </cell>
          <cell r="F271">
            <v>0.82569999999999999</v>
          </cell>
          <cell r="G271">
            <v>0.82569999999999999</v>
          </cell>
          <cell r="H271">
            <v>0.82569999999999999</v>
          </cell>
          <cell r="I271">
            <v>0.68440000000000001</v>
          </cell>
          <cell r="J271">
            <v>0.68440000000000001</v>
          </cell>
          <cell r="K271">
            <v>0.68440000000000001</v>
          </cell>
          <cell r="L271">
            <v>0.68440000000000001</v>
          </cell>
          <cell r="M271">
            <v>0.68440000000000001</v>
          </cell>
        </row>
        <row r="272">
          <cell r="A272">
            <v>6.6</v>
          </cell>
          <cell r="B272">
            <v>0.84370000000000001</v>
          </cell>
          <cell r="C272">
            <v>0.84370000000000001</v>
          </cell>
          <cell r="D272">
            <v>0.82450000000000001</v>
          </cell>
          <cell r="E272">
            <v>0.82450000000000001</v>
          </cell>
          <cell r="F272">
            <v>0.82450000000000001</v>
          </cell>
          <cell r="G272">
            <v>0.82450000000000001</v>
          </cell>
          <cell r="H272">
            <v>0.82450000000000001</v>
          </cell>
          <cell r="I272">
            <v>0.68289999999999995</v>
          </cell>
          <cell r="J272">
            <v>0.68289999999999995</v>
          </cell>
          <cell r="K272">
            <v>0.68289999999999995</v>
          </cell>
          <cell r="L272">
            <v>0.68289999999999995</v>
          </cell>
          <cell r="M272">
            <v>0.68289999999999995</v>
          </cell>
        </row>
        <row r="273">
          <cell r="A273">
            <v>6.7</v>
          </cell>
          <cell r="B273">
            <v>0.8427</v>
          </cell>
          <cell r="C273">
            <v>0.8427</v>
          </cell>
          <cell r="D273">
            <v>0.82330000000000003</v>
          </cell>
          <cell r="E273">
            <v>0.82330000000000003</v>
          </cell>
          <cell r="F273">
            <v>0.82330000000000003</v>
          </cell>
          <cell r="G273">
            <v>0.82330000000000003</v>
          </cell>
          <cell r="H273">
            <v>0.82330000000000003</v>
          </cell>
          <cell r="I273">
            <v>0.68130000000000002</v>
          </cell>
          <cell r="J273">
            <v>0.68130000000000002</v>
          </cell>
          <cell r="K273">
            <v>0.68130000000000002</v>
          </cell>
          <cell r="L273">
            <v>0.68130000000000002</v>
          </cell>
          <cell r="M273">
            <v>0.68130000000000002</v>
          </cell>
        </row>
        <row r="274">
          <cell r="A274">
            <v>6.8</v>
          </cell>
          <cell r="B274">
            <v>0.84179999999999999</v>
          </cell>
          <cell r="C274">
            <v>0.84179999999999999</v>
          </cell>
          <cell r="D274">
            <v>0.82210000000000005</v>
          </cell>
          <cell r="E274">
            <v>0.82210000000000005</v>
          </cell>
          <cell r="F274">
            <v>0.82210000000000005</v>
          </cell>
          <cell r="G274">
            <v>0.82210000000000005</v>
          </cell>
          <cell r="H274">
            <v>0.82210000000000005</v>
          </cell>
          <cell r="I274">
            <v>0.67979999999999996</v>
          </cell>
          <cell r="J274">
            <v>0.67979999999999996</v>
          </cell>
          <cell r="K274">
            <v>0.67979999999999996</v>
          </cell>
          <cell r="L274">
            <v>0.67979999999999996</v>
          </cell>
          <cell r="M274">
            <v>0.67979999999999996</v>
          </cell>
        </row>
        <row r="275">
          <cell r="A275">
            <v>6.9</v>
          </cell>
          <cell r="B275">
            <v>0.84089999999999998</v>
          </cell>
          <cell r="C275">
            <v>0.84089999999999998</v>
          </cell>
          <cell r="D275">
            <v>0.82099999999999995</v>
          </cell>
          <cell r="E275">
            <v>0.82099999999999995</v>
          </cell>
          <cell r="F275">
            <v>0.82099999999999995</v>
          </cell>
          <cell r="G275">
            <v>0.82099999999999995</v>
          </cell>
          <cell r="H275">
            <v>0.82099999999999995</v>
          </cell>
          <cell r="I275">
            <v>0.67849999999999999</v>
          </cell>
          <cell r="J275">
            <v>0.67849999999999999</v>
          </cell>
          <cell r="K275">
            <v>0.67849999999999999</v>
          </cell>
          <cell r="L275">
            <v>0.67849999999999999</v>
          </cell>
          <cell r="M275">
            <v>0.67849999999999999</v>
          </cell>
        </row>
        <row r="276">
          <cell r="A276">
            <v>7</v>
          </cell>
          <cell r="B276">
            <v>0.84009999999999996</v>
          </cell>
          <cell r="C276">
            <v>0.84009999999999996</v>
          </cell>
          <cell r="D276">
            <v>0.81989999999999996</v>
          </cell>
          <cell r="E276">
            <v>0.81989999999999996</v>
          </cell>
          <cell r="F276">
            <v>0.81989999999999996</v>
          </cell>
          <cell r="G276">
            <v>0.81989999999999996</v>
          </cell>
          <cell r="H276">
            <v>0.81989999999999996</v>
          </cell>
          <cell r="I276">
            <v>0.67720000000000002</v>
          </cell>
          <cell r="J276">
            <v>0.67720000000000002</v>
          </cell>
          <cell r="K276">
            <v>0.67720000000000002</v>
          </cell>
          <cell r="L276">
            <v>0.67720000000000002</v>
          </cell>
          <cell r="M276">
            <v>0.67720000000000002</v>
          </cell>
        </row>
        <row r="277">
          <cell r="A277">
            <v>7.1</v>
          </cell>
          <cell r="B277">
            <v>0.83930000000000005</v>
          </cell>
          <cell r="C277">
            <v>0.83930000000000005</v>
          </cell>
          <cell r="D277">
            <v>0.81889999999999996</v>
          </cell>
          <cell r="E277">
            <v>0.81889999999999996</v>
          </cell>
          <cell r="F277">
            <v>0.81889999999999996</v>
          </cell>
          <cell r="G277">
            <v>0.81889999999999996</v>
          </cell>
          <cell r="H277">
            <v>0.81889999999999996</v>
          </cell>
          <cell r="I277">
            <v>0.67589999999999995</v>
          </cell>
          <cell r="J277">
            <v>0.67589999999999995</v>
          </cell>
          <cell r="K277">
            <v>0.67589999999999995</v>
          </cell>
          <cell r="L277">
            <v>0.67589999999999995</v>
          </cell>
          <cell r="M277">
            <v>0.67589999999999995</v>
          </cell>
        </row>
        <row r="278">
          <cell r="A278">
            <v>7.2</v>
          </cell>
          <cell r="B278">
            <v>0.83850000000000002</v>
          </cell>
          <cell r="C278">
            <v>0.83850000000000002</v>
          </cell>
          <cell r="D278">
            <v>0.81789999999999996</v>
          </cell>
          <cell r="E278">
            <v>0.81789999999999996</v>
          </cell>
          <cell r="F278">
            <v>0.81789999999999996</v>
          </cell>
          <cell r="G278">
            <v>0.81789999999999996</v>
          </cell>
          <cell r="H278">
            <v>0.81789999999999996</v>
          </cell>
          <cell r="I278">
            <v>0.67459999999999998</v>
          </cell>
          <cell r="J278">
            <v>0.67459999999999998</v>
          </cell>
          <cell r="K278">
            <v>0.67459999999999998</v>
          </cell>
          <cell r="L278">
            <v>0.67459999999999998</v>
          </cell>
          <cell r="M278">
            <v>0.67459999999999998</v>
          </cell>
        </row>
        <row r="279">
          <cell r="A279">
            <v>7.3</v>
          </cell>
          <cell r="B279">
            <v>0.8377</v>
          </cell>
          <cell r="C279">
            <v>0.8377</v>
          </cell>
          <cell r="D279">
            <v>0.81689999999999996</v>
          </cell>
          <cell r="E279">
            <v>0.81689999999999996</v>
          </cell>
          <cell r="F279">
            <v>0.81689999999999996</v>
          </cell>
          <cell r="G279">
            <v>0.81689999999999996</v>
          </cell>
          <cell r="H279">
            <v>0.81689999999999996</v>
          </cell>
          <cell r="I279">
            <v>0.6734</v>
          </cell>
          <cell r="J279">
            <v>0.6734</v>
          </cell>
          <cell r="K279">
            <v>0.6734</v>
          </cell>
          <cell r="L279">
            <v>0.6734</v>
          </cell>
          <cell r="M279">
            <v>0.6734</v>
          </cell>
        </row>
        <row r="280">
          <cell r="A280">
            <v>7.4</v>
          </cell>
          <cell r="B280">
            <v>0.83699999999999997</v>
          </cell>
          <cell r="C280">
            <v>0.83699999999999997</v>
          </cell>
          <cell r="D280">
            <v>0.81599999999999995</v>
          </cell>
          <cell r="E280">
            <v>0.81599999999999995</v>
          </cell>
          <cell r="F280">
            <v>0.81599999999999995</v>
          </cell>
          <cell r="G280">
            <v>0.81599999999999995</v>
          </cell>
          <cell r="H280">
            <v>0.81599999999999995</v>
          </cell>
          <cell r="I280">
            <v>0.67210000000000003</v>
          </cell>
          <cell r="J280">
            <v>0.67210000000000003</v>
          </cell>
          <cell r="K280">
            <v>0.67210000000000003</v>
          </cell>
          <cell r="L280">
            <v>0.67210000000000003</v>
          </cell>
          <cell r="M280">
            <v>0.67210000000000003</v>
          </cell>
        </row>
        <row r="281">
          <cell r="A281">
            <v>7.5</v>
          </cell>
          <cell r="B281">
            <v>0.83630000000000004</v>
          </cell>
          <cell r="C281">
            <v>0.83630000000000004</v>
          </cell>
          <cell r="D281">
            <v>0.81510000000000005</v>
          </cell>
          <cell r="E281">
            <v>0.81510000000000005</v>
          </cell>
          <cell r="F281">
            <v>0.81510000000000005</v>
          </cell>
          <cell r="G281">
            <v>0.81510000000000005</v>
          </cell>
          <cell r="H281">
            <v>0.81510000000000005</v>
          </cell>
          <cell r="I281">
            <v>0.67090000000000005</v>
          </cell>
          <cell r="J281">
            <v>0.67090000000000005</v>
          </cell>
          <cell r="K281">
            <v>0.67090000000000005</v>
          </cell>
          <cell r="L281">
            <v>0.67090000000000005</v>
          </cell>
          <cell r="M281">
            <v>0.67090000000000005</v>
          </cell>
        </row>
        <row r="282">
          <cell r="A282">
            <v>7.6</v>
          </cell>
          <cell r="B282">
            <v>0.83560000000000001</v>
          </cell>
          <cell r="C282">
            <v>0.83560000000000001</v>
          </cell>
          <cell r="D282">
            <v>0.81420000000000003</v>
          </cell>
          <cell r="E282">
            <v>0.81420000000000003</v>
          </cell>
          <cell r="F282">
            <v>0.81420000000000003</v>
          </cell>
          <cell r="G282">
            <v>0.81420000000000003</v>
          </cell>
          <cell r="H282">
            <v>0.81420000000000003</v>
          </cell>
          <cell r="I282">
            <v>0.66979999999999995</v>
          </cell>
          <cell r="J282">
            <v>0.66979999999999995</v>
          </cell>
          <cell r="K282">
            <v>0.66979999999999995</v>
          </cell>
          <cell r="L282">
            <v>0.66979999999999995</v>
          </cell>
          <cell r="M282">
            <v>0.66979999999999995</v>
          </cell>
        </row>
        <row r="283">
          <cell r="A283">
            <v>7.7</v>
          </cell>
          <cell r="B283">
            <v>0.83489999999999998</v>
          </cell>
          <cell r="C283">
            <v>0.83489999999999998</v>
          </cell>
          <cell r="D283">
            <v>0.81330000000000002</v>
          </cell>
          <cell r="E283">
            <v>0.81330000000000002</v>
          </cell>
          <cell r="F283">
            <v>0.81330000000000002</v>
          </cell>
          <cell r="G283">
            <v>0.81330000000000002</v>
          </cell>
          <cell r="H283">
            <v>0.81330000000000002</v>
          </cell>
          <cell r="I283">
            <v>0.66869999999999996</v>
          </cell>
          <cell r="J283">
            <v>0.66869999999999996</v>
          </cell>
          <cell r="K283">
            <v>0.66869999999999996</v>
          </cell>
          <cell r="L283">
            <v>0.66869999999999996</v>
          </cell>
          <cell r="M283">
            <v>0.66869999999999996</v>
          </cell>
        </row>
        <row r="284">
          <cell r="A284">
            <v>7.8</v>
          </cell>
          <cell r="B284">
            <v>0.83420000000000005</v>
          </cell>
          <cell r="C284">
            <v>0.83420000000000005</v>
          </cell>
          <cell r="D284">
            <v>0.81240000000000001</v>
          </cell>
          <cell r="E284">
            <v>0.81240000000000001</v>
          </cell>
          <cell r="F284">
            <v>0.81240000000000001</v>
          </cell>
          <cell r="G284">
            <v>0.81240000000000001</v>
          </cell>
          <cell r="H284">
            <v>0.81240000000000001</v>
          </cell>
          <cell r="I284">
            <v>0.66759999999999997</v>
          </cell>
          <cell r="J284">
            <v>0.66759999999999997</v>
          </cell>
          <cell r="K284">
            <v>0.66759999999999997</v>
          </cell>
          <cell r="L284">
            <v>0.66759999999999997</v>
          </cell>
          <cell r="M284">
            <v>0.66759999999999997</v>
          </cell>
        </row>
        <row r="285">
          <cell r="A285">
            <v>7.9</v>
          </cell>
          <cell r="B285">
            <v>0.83350000000000002</v>
          </cell>
          <cell r="C285">
            <v>0.83350000000000002</v>
          </cell>
          <cell r="D285">
            <v>0.81159999999999999</v>
          </cell>
          <cell r="E285">
            <v>0.81159999999999999</v>
          </cell>
          <cell r="F285">
            <v>0.81159999999999999</v>
          </cell>
          <cell r="G285">
            <v>0.81159999999999999</v>
          </cell>
          <cell r="H285">
            <v>0.81159999999999999</v>
          </cell>
          <cell r="I285">
            <v>0.66649999999999998</v>
          </cell>
          <cell r="J285">
            <v>0.66649999999999998</v>
          </cell>
          <cell r="K285">
            <v>0.66649999999999998</v>
          </cell>
          <cell r="L285">
            <v>0.66649999999999998</v>
          </cell>
          <cell r="M285">
            <v>0.66649999999999998</v>
          </cell>
        </row>
        <row r="286">
          <cell r="A286">
            <v>8</v>
          </cell>
          <cell r="B286">
            <v>0.83279999999999998</v>
          </cell>
          <cell r="C286">
            <v>0.83279999999999998</v>
          </cell>
          <cell r="D286">
            <v>0.81079999999999997</v>
          </cell>
          <cell r="E286">
            <v>0.81079999999999997</v>
          </cell>
          <cell r="F286">
            <v>0.81079999999999997</v>
          </cell>
          <cell r="G286">
            <v>0.81079999999999997</v>
          </cell>
          <cell r="H286">
            <v>0.81079999999999997</v>
          </cell>
          <cell r="I286">
            <v>0.66549999999999998</v>
          </cell>
          <cell r="J286">
            <v>0.66549999999999998</v>
          </cell>
          <cell r="K286">
            <v>0.66549999999999998</v>
          </cell>
          <cell r="L286">
            <v>0.66549999999999998</v>
          </cell>
          <cell r="M286">
            <v>0.66549999999999998</v>
          </cell>
        </row>
        <row r="287">
          <cell r="A287">
            <v>8.1</v>
          </cell>
          <cell r="B287">
            <v>0.83220000000000005</v>
          </cell>
          <cell r="C287">
            <v>0.83220000000000005</v>
          </cell>
          <cell r="D287">
            <v>0.81</v>
          </cell>
          <cell r="E287">
            <v>0.81</v>
          </cell>
          <cell r="F287">
            <v>0.81</v>
          </cell>
          <cell r="G287">
            <v>0.81</v>
          </cell>
          <cell r="H287">
            <v>0.81</v>
          </cell>
          <cell r="I287">
            <v>0.66439999999999999</v>
          </cell>
          <cell r="J287">
            <v>0.66439999999999999</v>
          </cell>
          <cell r="K287">
            <v>0.66439999999999999</v>
          </cell>
          <cell r="L287">
            <v>0.66439999999999999</v>
          </cell>
          <cell r="M287">
            <v>0.66439999999999999</v>
          </cell>
        </row>
        <row r="288">
          <cell r="A288">
            <v>8.1999999999999993</v>
          </cell>
          <cell r="B288">
            <v>0.83160000000000001</v>
          </cell>
          <cell r="C288">
            <v>0.83160000000000001</v>
          </cell>
          <cell r="D288">
            <v>0.80920000000000003</v>
          </cell>
          <cell r="E288">
            <v>0.80920000000000003</v>
          </cell>
          <cell r="F288">
            <v>0.80920000000000003</v>
          </cell>
          <cell r="G288">
            <v>0.80920000000000003</v>
          </cell>
          <cell r="H288">
            <v>0.80920000000000003</v>
          </cell>
          <cell r="I288">
            <v>0.66339999999999999</v>
          </cell>
          <cell r="J288">
            <v>0.66339999999999999</v>
          </cell>
          <cell r="K288">
            <v>0.66339999999999999</v>
          </cell>
          <cell r="L288">
            <v>0.66339999999999999</v>
          </cell>
          <cell r="M288">
            <v>0.66339999999999999</v>
          </cell>
        </row>
        <row r="289">
          <cell r="A289">
            <v>8.3000000000000007</v>
          </cell>
          <cell r="B289">
            <v>0.83099999999999996</v>
          </cell>
          <cell r="C289">
            <v>0.83099999999999996</v>
          </cell>
          <cell r="D289">
            <v>0.80840000000000001</v>
          </cell>
          <cell r="E289">
            <v>0.80840000000000001</v>
          </cell>
          <cell r="F289">
            <v>0.80840000000000001</v>
          </cell>
          <cell r="G289">
            <v>0.80840000000000001</v>
          </cell>
          <cell r="H289">
            <v>0.80840000000000001</v>
          </cell>
          <cell r="I289">
            <v>0.66239999999999999</v>
          </cell>
          <cell r="J289">
            <v>0.66239999999999999</v>
          </cell>
          <cell r="K289">
            <v>0.66239999999999999</v>
          </cell>
          <cell r="L289">
            <v>0.66239999999999999</v>
          </cell>
          <cell r="M289">
            <v>0.66239999999999999</v>
          </cell>
        </row>
        <row r="290">
          <cell r="A290">
            <v>8.4</v>
          </cell>
          <cell r="B290">
            <v>0.83040000000000003</v>
          </cell>
          <cell r="C290">
            <v>0.83040000000000003</v>
          </cell>
          <cell r="D290">
            <v>0.80759999999999998</v>
          </cell>
          <cell r="E290">
            <v>0.80759999999999998</v>
          </cell>
          <cell r="F290">
            <v>0.80759999999999998</v>
          </cell>
          <cell r="G290">
            <v>0.80759999999999998</v>
          </cell>
          <cell r="H290">
            <v>0.80759999999999998</v>
          </cell>
          <cell r="I290">
            <v>0.66139999999999999</v>
          </cell>
          <cell r="J290">
            <v>0.66139999999999999</v>
          </cell>
          <cell r="K290">
            <v>0.66139999999999999</v>
          </cell>
          <cell r="L290">
            <v>0.66139999999999999</v>
          </cell>
          <cell r="M290">
            <v>0.66139999999999999</v>
          </cell>
        </row>
        <row r="291">
          <cell r="A291">
            <v>8.5</v>
          </cell>
          <cell r="B291">
            <v>0.82979999999999998</v>
          </cell>
          <cell r="C291">
            <v>0.82979999999999998</v>
          </cell>
          <cell r="D291">
            <v>0.80679999999999996</v>
          </cell>
          <cell r="E291">
            <v>0.80679999999999996</v>
          </cell>
          <cell r="F291">
            <v>0.80679999999999996</v>
          </cell>
          <cell r="G291">
            <v>0.80679999999999996</v>
          </cell>
          <cell r="H291">
            <v>0.80679999999999996</v>
          </cell>
          <cell r="I291">
            <v>0.66049999999999998</v>
          </cell>
          <cell r="J291">
            <v>0.66049999999999998</v>
          </cell>
          <cell r="K291">
            <v>0.66049999999999998</v>
          </cell>
          <cell r="L291">
            <v>0.66049999999999998</v>
          </cell>
          <cell r="M291">
            <v>0.66049999999999998</v>
          </cell>
        </row>
        <row r="292">
          <cell r="A292">
            <v>8.6</v>
          </cell>
          <cell r="B292">
            <v>0.82920000000000005</v>
          </cell>
          <cell r="C292">
            <v>0.82920000000000005</v>
          </cell>
          <cell r="D292">
            <v>0.80600000000000005</v>
          </cell>
          <cell r="E292">
            <v>0.80600000000000005</v>
          </cell>
          <cell r="F292">
            <v>0.80600000000000005</v>
          </cell>
          <cell r="G292">
            <v>0.80600000000000005</v>
          </cell>
          <cell r="H292">
            <v>0.80600000000000005</v>
          </cell>
          <cell r="I292">
            <v>0.65949999999999998</v>
          </cell>
          <cell r="J292">
            <v>0.65949999999999998</v>
          </cell>
          <cell r="K292">
            <v>0.65949999999999998</v>
          </cell>
          <cell r="L292">
            <v>0.65949999999999998</v>
          </cell>
          <cell r="M292">
            <v>0.65949999999999998</v>
          </cell>
        </row>
        <row r="293">
          <cell r="A293">
            <v>8.6999999999999993</v>
          </cell>
          <cell r="B293">
            <v>0.8286</v>
          </cell>
          <cell r="C293">
            <v>0.8286</v>
          </cell>
          <cell r="D293">
            <v>0.80520000000000003</v>
          </cell>
          <cell r="E293">
            <v>0.80520000000000003</v>
          </cell>
          <cell r="F293">
            <v>0.80520000000000003</v>
          </cell>
          <cell r="G293">
            <v>0.80520000000000003</v>
          </cell>
          <cell r="H293">
            <v>0.80520000000000003</v>
          </cell>
          <cell r="I293">
            <v>0.65859999999999996</v>
          </cell>
          <cell r="J293">
            <v>0.65859999999999996</v>
          </cell>
          <cell r="K293">
            <v>0.65859999999999996</v>
          </cell>
          <cell r="L293">
            <v>0.65859999999999996</v>
          </cell>
          <cell r="M293">
            <v>0.65859999999999996</v>
          </cell>
        </row>
        <row r="294">
          <cell r="A294">
            <v>8.8000000000000007</v>
          </cell>
          <cell r="B294">
            <v>0.82799999999999996</v>
          </cell>
          <cell r="C294">
            <v>0.82799999999999996</v>
          </cell>
          <cell r="D294">
            <v>0.8044</v>
          </cell>
          <cell r="E294">
            <v>0.8044</v>
          </cell>
          <cell r="F294">
            <v>0.8044</v>
          </cell>
          <cell r="G294">
            <v>0.8044</v>
          </cell>
          <cell r="H294">
            <v>0.8044</v>
          </cell>
          <cell r="I294">
            <v>0.65759999999999996</v>
          </cell>
          <cell r="J294">
            <v>0.65759999999999996</v>
          </cell>
          <cell r="K294">
            <v>0.65759999999999996</v>
          </cell>
          <cell r="L294">
            <v>0.65759999999999996</v>
          </cell>
          <cell r="M294">
            <v>0.65759999999999996</v>
          </cell>
        </row>
        <row r="295">
          <cell r="A295">
            <v>8.9</v>
          </cell>
          <cell r="B295">
            <v>0.82740000000000002</v>
          </cell>
          <cell r="C295">
            <v>0.82740000000000002</v>
          </cell>
          <cell r="D295">
            <v>0.80359999999999998</v>
          </cell>
          <cell r="E295">
            <v>0.80359999999999998</v>
          </cell>
          <cell r="F295">
            <v>0.80359999999999998</v>
          </cell>
          <cell r="G295">
            <v>0.80359999999999998</v>
          </cell>
          <cell r="H295">
            <v>0.80359999999999998</v>
          </cell>
          <cell r="I295">
            <v>0.65669999999999995</v>
          </cell>
          <cell r="J295">
            <v>0.65669999999999995</v>
          </cell>
          <cell r="K295">
            <v>0.65669999999999995</v>
          </cell>
          <cell r="L295">
            <v>0.65669999999999995</v>
          </cell>
          <cell r="M295">
            <v>0.65669999999999995</v>
          </cell>
        </row>
        <row r="296">
          <cell r="A296">
            <v>9</v>
          </cell>
          <cell r="B296">
            <v>0.82679999999999998</v>
          </cell>
          <cell r="C296">
            <v>0.82679999999999998</v>
          </cell>
          <cell r="D296">
            <v>0.80279999999999996</v>
          </cell>
          <cell r="E296">
            <v>0.80279999999999996</v>
          </cell>
          <cell r="F296">
            <v>0.80279999999999996</v>
          </cell>
          <cell r="G296">
            <v>0.80279999999999996</v>
          </cell>
          <cell r="H296">
            <v>0.80279999999999996</v>
          </cell>
          <cell r="I296">
            <v>0.65569999999999995</v>
          </cell>
          <cell r="J296">
            <v>0.65569999999999995</v>
          </cell>
          <cell r="K296">
            <v>0.65569999999999995</v>
          </cell>
          <cell r="L296">
            <v>0.65569999999999995</v>
          </cell>
          <cell r="M296">
            <v>0.65569999999999995</v>
          </cell>
        </row>
        <row r="297">
          <cell r="A297">
            <v>9.1</v>
          </cell>
          <cell r="B297">
            <v>0.82620000000000005</v>
          </cell>
          <cell r="C297">
            <v>0.82620000000000005</v>
          </cell>
          <cell r="D297">
            <v>0.80200000000000005</v>
          </cell>
          <cell r="E297">
            <v>0.80200000000000005</v>
          </cell>
          <cell r="F297">
            <v>0.80200000000000005</v>
          </cell>
          <cell r="G297">
            <v>0.80200000000000005</v>
          </cell>
          <cell r="H297">
            <v>0.80200000000000005</v>
          </cell>
          <cell r="I297">
            <v>0.65480000000000005</v>
          </cell>
          <cell r="J297">
            <v>0.65480000000000005</v>
          </cell>
          <cell r="K297">
            <v>0.65480000000000005</v>
          </cell>
          <cell r="L297">
            <v>0.65480000000000005</v>
          </cell>
          <cell r="M297">
            <v>0.65480000000000005</v>
          </cell>
        </row>
        <row r="298">
          <cell r="A298">
            <v>9.1999999999999993</v>
          </cell>
          <cell r="B298">
            <v>0.8256</v>
          </cell>
          <cell r="C298">
            <v>0.8256</v>
          </cell>
          <cell r="D298">
            <v>0.80120000000000002</v>
          </cell>
          <cell r="E298">
            <v>0.80120000000000002</v>
          </cell>
          <cell r="F298">
            <v>0.80120000000000002</v>
          </cell>
          <cell r="G298">
            <v>0.80120000000000002</v>
          </cell>
          <cell r="H298">
            <v>0.80120000000000002</v>
          </cell>
          <cell r="I298">
            <v>0.65380000000000005</v>
          </cell>
          <cell r="J298">
            <v>0.65380000000000005</v>
          </cell>
          <cell r="K298">
            <v>0.65380000000000005</v>
          </cell>
          <cell r="L298">
            <v>0.65380000000000005</v>
          </cell>
          <cell r="M298">
            <v>0.65380000000000005</v>
          </cell>
        </row>
        <row r="299">
          <cell r="A299">
            <v>9.3000000000000007</v>
          </cell>
          <cell r="B299">
            <v>0.82499999999999996</v>
          </cell>
          <cell r="C299">
            <v>0.82499999999999996</v>
          </cell>
          <cell r="D299">
            <v>0.8004</v>
          </cell>
          <cell r="E299">
            <v>0.8004</v>
          </cell>
          <cell r="F299">
            <v>0.8004</v>
          </cell>
          <cell r="G299">
            <v>0.8004</v>
          </cell>
          <cell r="H299">
            <v>0.8004</v>
          </cell>
          <cell r="I299">
            <v>0.65290000000000004</v>
          </cell>
          <cell r="J299">
            <v>0.65290000000000004</v>
          </cell>
          <cell r="K299">
            <v>0.65290000000000004</v>
          </cell>
          <cell r="L299">
            <v>0.65290000000000004</v>
          </cell>
          <cell r="M299">
            <v>0.65290000000000004</v>
          </cell>
        </row>
        <row r="300">
          <cell r="A300">
            <v>9.4</v>
          </cell>
          <cell r="B300">
            <v>0.82440000000000002</v>
          </cell>
          <cell r="C300">
            <v>0.82440000000000002</v>
          </cell>
          <cell r="D300">
            <v>0.79959999999999998</v>
          </cell>
          <cell r="E300">
            <v>0.79959999999999998</v>
          </cell>
          <cell r="F300">
            <v>0.79959999999999998</v>
          </cell>
          <cell r="G300">
            <v>0.79959999999999998</v>
          </cell>
          <cell r="H300">
            <v>0.79959999999999998</v>
          </cell>
          <cell r="I300">
            <v>0.65190000000000003</v>
          </cell>
          <cell r="J300">
            <v>0.65190000000000003</v>
          </cell>
          <cell r="K300">
            <v>0.65190000000000003</v>
          </cell>
          <cell r="L300">
            <v>0.65190000000000003</v>
          </cell>
          <cell r="M300">
            <v>0.65190000000000003</v>
          </cell>
        </row>
        <row r="301">
          <cell r="A301">
            <v>9.5</v>
          </cell>
          <cell r="B301">
            <v>0.82379999999999998</v>
          </cell>
          <cell r="C301">
            <v>0.82379999999999998</v>
          </cell>
          <cell r="D301">
            <v>0.79879999999999995</v>
          </cell>
          <cell r="E301">
            <v>0.79879999999999995</v>
          </cell>
          <cell r="F301">
            <v>0.79879999999999995</v>
          </cell>
          <cell r="G301">
            <v>0.79879999999999995</v>
          </cell>
          <cell r="H301">
            <v>0.79879999999999995</v>
          </cell>
          <cell r="I301">
            <v>0.65100000000000002</v>
          </cell>
          <cell r="J301">
            <v>0.65100000000000002</v>
          </cell>
          <cell r="K301">
            <v>0.65100000000000002</v>
          </cell>
          <cell r="L301">
            <v>0.65100000000000002</v>
          </cell>
          <cell r="M301">
            <v>0.65100000000000002</v>
          </cell>
        </row>
        <row r="302">
          <cell r="A302">
            <v>9.6</v>
          </cell>
          <cell r="B302">
            <v>0.82320000000000004</v>
          </cell>
          <cell r="C302">
            <v>0.82320000000000004</v>
          </cell>
          <cell r="D302">
            <v>0.79800000000000004</v>
          </cell>
          <cell r="E302">
            <v>0.79800000000000004</v>
          </cell>
          <cell r="F302">
            <v>0.79800000000000004</v>
          </cell>
          <cell r="G302">
            <v>0.79800000000000004</v>
          </cell>
          <cell r="H302">
            <v>0.79800000000000004</v>
          </cell>
          <cell r="I302">
            <v>0.65</v>
          </cell>
          <cell r="J302">
            <v>0.65</v>
          </cell>
          <cell r="K302">
            <v>0.65</v>
          </cell>
          <cell r="L302">
            <v>0.65</v>
          </cell>
          <cell r="M302">
            <v>0.65</v>
          </cell>
        </row>
        <row r="303">
          <cell r="A303">
            <v>9.6999999999999993</v>
          </cell>
          <cell r="B303">
            <v>0.8226</v>
          </cell>
          <cell r="C303">
            <v>0.8226</v>
          </cell>
          <cell r="D303">
            <v>0.79720000000000002</v>
          </cell>
          <cell r="E303">
            <v>0.79720000000000002</v>
          </cell>
          <cell r="F303">
            <v>0.79720000000000002</v>
          </cell>
          <cell r="G303">
            <v>0.79720000000000002</v>
          </cell>
          <cell r="H303">
            <v>0.79720000000000002</v>
          </cell>
          <cell r="I303">
            <v>0.64900000000000002</v>
          </cell>
          <cell r="J303">
            <v>0.64900000000000002</v>
          </cell>
          <cell r="K303">
            <v>0.64900000000000002</v>
          </cell>
          <cell r="L303">
            <v>0.64900000000000002</v>
          </cell>
          <cell r="M303">
            <v>0.64900000000000002</v>
          </cell>
        </row>
        <row r="304">
          <cell r="A304">
            <v>9.8000000000000007</v>
          </cell>
          <cell r="B304">
            <v>0.82199999999999995</v>
          </cell>
          <cell r="C304">
            <v>0.82199999999999995</v>
          </cell>
          <cell r="D304">
            <v>0.7964</v>
          </cell>
          <cell r="E304">
            <v>0.7964</v>
          </cell>
          <cell r="F304">
            <v>0.7964</v>
          </cell>
          <cell r="G304">
            <v>0.7964</v>
          </cell>
          <cell r="H304">
            <v>0.7964</v>
          </cell>
          <cell r="I304">
            <v>0.64810000000000001</v>
          </cell>
          <cell r="J304">
            <v>0.64810000000000001</v>
          </cell>
          <cell r="K304">
            <v>0.64810000000000001</v>
          </cell>
          <cell r="L304">
            <v>0.64810000000000001</v>
          </cell>
          <cell r="M304">
            <v>0.64810000000000001</v>
          </cell>
        </row>
        <row r="305">
          <cell r="A305">
            <v>9.9</v>
          </cell>
          <cell r="B305">
            <v>0.82140000000000002</v>
          </cell>
          <cell r="C305">
            <v>0.82140000000000002</v>
          </cell>
          <cell r="D305">
            <v>0.79559999999999997</v>
          </cell>
          <cell r="E305">
            <v>0.79559999999999997</v>
          </cell>
          <cell r="F305">
            <v>0.79559999999999997</v>
          </cell>
          <cell r="G305">
            <v>0.79559999999999997</v>
          </cell>
          <cell r="H305">
            <v>0.79559999999999997</v>
          </cell>
          <cell r="I305">
            <v>0.64710000000000001</v>
          </cell>
          <cell r="J305">
            <v>0.64710000000000001</v>
          </cell>
          <cell r="K305">
            <v>0.64710000000000001</v>
          </cell>
          <cell r="L305">
            <v>0.64710000000000001</v>
          </cell>
          <cell r="M305">
            <v>0.64710000000000001</v>
          </cell>
        </row>
        <row r="306">
          <cell r="A306">
            <v>10</v>
          </cell>
          <cell r="B306">
            <v>0.82079999999999997</v>
          </cell>
          <cell r="C306">
            <v>0.82079999999999997</v>
          </cell>
          <cell r="D306">
            <v>0.79479999999999995</v>
          </cell>
          <cell r="E306">
            <v>0.79479999999999995</v>
          </cell>
          <cell r="F306">
            <v>0.79479999999999995</v>
          </cell>
          <cell r="G306">
            <v>0.79479999999999995</v>
          </cell>
          <cell r="H306">
            <v>0.79479999999999995</v>
          </cell>
          <cell r="I306">
            <v>0.6462</v>
          </cell>
          <cell r="J306">
            <v>0.6462</v>
          </cell>
          <cell r="K306">
            <v>0.6462</v>
          </cell>
          <cell r="L306">
            <v>0.6462</v>
          </cell>
          <cell r="M306">
            <v>0.6462</v>
          </cell>
        </row>
        <row r="309">
          <cell r="A309">
            <v>0.1</v>
          </cell>
          <cell r="B309">
            <v>11.506</v>
          </cell>
          <cell r="C309">
            <v>11.506</v>
          </cell>
          <cell r="D309">
            <v>12.015000000000001</v>
          </cell>
          <cell r="E309">
            <v>12.015000000000001</v>
          </cell>
          <cell r="F309">
            <v>12.015000000000001</v>
          </cell>
          <cell r="G309">
            <v>11.118</v>
          </cell>
          <cell r="H309">
            <v>11.118</v>
          </cell>
          <cell r="I309">
            <v>10</v>
          </cell>
          <cell r="J309">
            <v>10</v>
          </cell>
          <cell r="K309">
            <v>10</v>
          </cell>
          <cell r="L309">
            <v>10</v>
          </cell>
          <cell r="M309">
            <v>10</v>
          </cell>
        </row>
        <row r="310">
          <cell r="A310">
            <v>0.2</v>
          </cell>
          <cell r="B310">
            <v>5.7530000000000001</v>
          </cell>
          <cell r="C310">
            <v>5.7530000000000001</v>
          </cell>
          <cell r="D310">
            <v>6.0075000000000003</v>
          </cell>
          <cell r="E310">
            <v>6.0075000000000003</v>
          </cell>
          <cell r="F310">
            <v>6.0075000000000003</v>
          </cell>
          <cell r="G310">
            <v>5.5590000000000002</v>
          </cell>
          <cell r="H310">
            <v>5.5590000000000002</v>
          </cell>
          <cell r="I310">
            <v>5</v>
          </cell>
          <cell r="J310">
            <v>5</v>
          </cell>
          <cell r="K310">
            <v>5</v>
          </cell>
          <cell r="L310">
            <v>5</v>
          </cell>
          <cell r="M310">
            <v>5</v>
          </cell>
        </row>
        <row r="311">
          <cell r="A311">
            <v>0.3</v>
          </cell>
          <cell r="B311">
            <v>3.8353000000000002</v>
          </cell>
          <cell r="C311">
            <v>3.8353000000000002</v>
          </cell>
          <cell r="D311">
            <v>4.0049999999999999</v>
          </cell>
          <cell r="E311">
            <v>4.0049999999999999</v>
          </cell>
          <cell r="F311">
            <v>4.0049999999999999</v>
          </cell>
          <cell r="G311">
            <v>3.706</v>
          </cell>
          <cell r="H311">
            <v>3.706</v>
          </cell>
          <cell r="I311">
            <v>3.3332999999999999</v>
          </cell>
          <cell r="J311">
            <v>3.3332999999999999</v>
          </cell>
          <cell r="K311">
            <v>3.3332999999999999</v>
          </cell>
          <cell r="L311">
            <v>3.3332999999999999</v>
          </cell>
          <cell r="M311">
            <v>3.3332999999999999</v>
          </cell>
        </row>
        <row r="312">
          <cell r="A312">
            <v>0.4</v>
          </cell>
          <cell r="B312">
            <v>2.8765000000000001</v>
          </cell>
          <cell r="C312">
            <v>2.8765000000000001</v>
          </cell>
          <cell r="D312">
            <v>3.0038</v>
          </cell>
          <cell r="E312">
            <v>3.0038</v>
          </cell>
          <cell r="F312">
            <v>3.0038</v>
          </cell>
          <cell r="G312">
            <v>2.7795000000000001</v>
          </cell>
          <cell r="H312">
            <v>2.7795000000000001</v>
          </cell>
          <cell r="I312">
            <v>2.5</v>
          </cell>
          <cell r="J312">
            <v>2.5</v>
          </cell>
          <cell r="K312">
            <v>2.5</v>
          </cell>
          <cell r="L312">
            <v>2.5</v>
          </cell>
          <cell r="M312">
            <v>2.5</v>
          </cell>
        </row>
        <row r="313">
          <cell r="A313">
            <v>0.5</v>
          </cell>
          <cell r="B313">
            <v>2.3012000000000001</v>
          </cell>
          <cell r="C313">
            <v>2.3012000000000001</v>
          </cell>
          <cell r="D313">
            <v>2.403</v>
          </cell>
          <cell r="E313">
            <v>2.403</v>
          </cell>
          <cell r="F313">
            <v>2.403</v>
          </cell>
          <cell r="G313">
            <v>2.2235999999999998</v>
          </cell>
          <cell r="H313">
            <v>2.2235999999999998</v>
          </cell>
          <cell r="I313">
            <v>2</v>
          </cell>
          <cell r="J313">
            <v>2</v>
          </cell>
          <cell r="K313">
            <v>2</v>
          </cell>
          <cell r="L313">
            <v>2</v>
          </cell>
          <cell r="M313">
            <v>2</v>
          </cell>
        </row>
        <row r="314">
          <cell r="A314">
            <v>0.6</v>
          </cell>
          <cell r="B314">
            <v>1.9177</v>
          </cell>
          <cell r="C314">
            <v>1.9177</v>
          </cell>
          <cell r="D314">
            <v>2.0024999999999999</v>
          </cell>
          <cell r="E314">
            <v>2.0024999999999999</v>
          </cell>
          <cell r="F314">
            <v>2.0024999999999999</v>
          </cell>
          <cell r="G314">
            <v>1.853</v>
          </cell>
          <cell r="H314">
            <v>1.853</v>
          </cell>
          <cell r="I314">
            <v>1.6667000000000001</v>
          </cell>
          <cell r="J314">
            <v>1.6667000000000001</v>
          </cell>
          <cell r="K314">
            <v>1.6667000000000001</v>
          </cell>
          <cell r="L314">
            <v>1.6667000000000001</v>
          </cell>
          <cell r="M314">
            <v>1.6667000000000001</v>
          </cell>
        </row>
        <row r="315">
          <cell r="A315">
            <v>0.7</v>
          </cell>
          <cell r="B315">
            <v>1.6436999999999999</v>
          </cell>
          <cell r="C315">
            <v>1.6436999999999999</v>
          </cell>
          <cell r="D315">
            <v>1.7163999999999999</v>
          </cell>
          <cell r="E315">
            <v>1.7163999999999999</v>
          </cell>
          <cell r="F315">
            <v>1.7163999999999999</v>
          </cell>
          <cell r="G315">
            <v>1.5883</v>
          </cell>
          <cell r="H315">
            <v>1.5883</v>
          </cell>
          <cell r="I315">
            <v>1.4286000000000001</v>
          </cell>
          <cell r="J315">
            <v>1.4286000000000001</v>
          </cell>
          <cell r="K315">
            <v>1.4286000000000001</v>
          </cell>
          <cell r="L315">
            <v>1.4286000000000001</v>
          </cell>
          <cell r="M315">
            <v>1.4286000000000001</v>
          </cell>
        </row>
        <row r="316">
          <cell r="A316">
            <v>0.8</v>
          </cell>
          <cell r="B316">
            <v>1.4382999999999999</v>
          </cell>
          <cell r="C316">
            <v>1.4382999999999999</v>
          </cell>
          <cell r="D316">
            <v>1.5019</v>
          </cell>
          <cell r="E316">
            <v>1.5019</v>
          </cell>
          <cell r="F316">
            <v>1.5019</v>
          </cell>
          <cell r="G316">
            <v>1.3897999999999999</v>
          </cell>
          <cell r="H316">
            <v>1.3897999999999999</v>
          </cell>
          <cell r="I316">
            <v>1.25</v>
          </cell>
          <cell r="J316">
            <v>1.25</v>
          </cell>
          <cell r="K316">
            <v>1.25</v>
          </cell>
          <cell r="L316">
            <v>1.25</v>
          </cell>
          <cell r="M316">
            <v>1.25</v>
          </cell>
        </row>
        <row r="317">
          <cell r="A317">
            <v>0.9</v>
          </cell>
          <cell r="B317">
            <v>1.2784</v>
          </cell>
          <cell r="C317">
            <v>1.2784</v>
          </cell>
          <cell r="D317">
            <v>1.335</v>
          </cell>
          <cell r="E317">
            <v>1.335</v>
          </cell>
          <cell r="F317">
            <v>1.335</v>
          </cell>
          <cell r="G317">
            <v>1.2353000000000001</v>
          </cell>
          <cell r="H317">
            <v>1.2353000000000001</v>
          </cell>
          <cell r="I317">
            <v>1.1111</v>
          </cell>
          <cell r="J317">
            <v>1.1111</v>
          </cell>
          <cell r="K317">
            <v>1.1111</v>
          </cell>
          <cell r="L317">
            <v>1.1111</v>
          </cell>
          <cell r="M317">
            <v>1.1111</v>
          </cell>
        </row>
        <row r="318">
          <cell r="A318">
            <v>1</v>
          </cell>
          <cell r="B318">
            <v>1.1506000000000001</v>
          </cell>
          <cell r="C318">
            <v>1.1506000000000001</v>
          </cell>
          <cell r="D318">
            <v>1.2015</v>
          </cell>
          <cell r="E318">
            <v>1.2015</v>
          </cell>
          <cell r="F318">
            <v>1.2015</v>
          </cell>
          <cell r="G318">
            <v>1.1117999999999999</v>
          </cell>
          <cell r="H318">
            <v>1.1117999999999999</v>
          </cell>
          <cell r="I318">
            <v>1</v>
          </cell>
          <cell r="J318">
            <v>1</v>
          </cell>
          <cell r="K318">
            <v>1</v>
          </cell>
          <cell r="L318">
            <v>1</v>
          </cell>
          <cell r="M318">
            <v>1</v>
          </cell>
        </row>
        <row r="319">
          <cell r="A319">
            <v>1.1000000000000001</v>
          </cell>
          <cell r="B319">
            <v>1.1158999999999999</v>
          </cell>
          <cell r="C319">
            <v>1.1158999999999999</v>
          </cell>
          <cell r="D319">
            <v>1.1440999999999999</v>
          </cell>
          <cell r="E319">
            <v>1.1440999999999999</v>
          </cell>
          <cell r="F319">
            <v>1.1440999999999999</v>
          </cell>
          <cell r="G319">
            <v>1.0492999999999999</v>
          </cell>
          <cell r="H319">
            <v>1.0492999999999999</v>
          </cell>
          <cell r="I319">
            <v>0.93730000000000002</v>
          </cell>
          <cell r="J319">
            <v>0.93730000000000002</v>
          </cell>
          <cell r="K319">
            <v>0.93730000000000002</v>
          </cell>
          <cell r="L319">
            <v>0.93730000000000002</v>
          </cell>
          <cell r="M319">
            <v>0.93730000000000002</v>
          </cell>
        </row>
        <row r="320">
          <cell r="A320">
            <v>1.2</v>
          </cell>
          <cell r="B320">
            <v>1.0837000000000001</v>
          </cell>
          <cell r="C320">
            <v>1.0837000000000001</v>
          </cell>
          <cell r="D320">
            <v>1.0972999999999999</v>
          </cell>
          <cell r="E320">
            <v>1.0972999999999999</v>
          </cell>
          <cell r="F320">
            <v>1.0972999999999999</v>
          </cell>
          <cell r="G320">
            <v>1</v>
          </cell>
          <cell r="H320">
            <v>1</v>
          </cell>
          <cell r="I320">
            <v>0.88890000000000002</v>
          </cell>
          <cell r="J320">
            <v>0.88890000000000002</v>
          </cell>
          <cell r="K320">
            <v>0.88890000000000002</v>
          </cell>
          <cell r="L320">
            <v>0.88890000000000002</v>
          </cell>
          <cell r="M320">
            <v>0.88890000000000002</v>
          </cell>
        </row>
        <row r="321">
          <cell r="A321">
            <v>1.3</v>
          </cell>
          <cell r="B321">
            <v>1.0538000000000001</v>
          </cell>
          <cell r="C321">
            <v>1.0538000000000001</v>
          </cell>
          <cell r="D321">
            <v>1.0589999999999999</v>
          </cell>
          <cell r="E321">
            <v>1.0589999999999999</v>
          </cell>
          <cell r="F321">
            <v>1.0589999999999999</v>
          </cell>
          <cell r="G321">
            <v>0.96140000000000003</v>
          </cell>
          <cell r="H321">
            <v>0.96140000000000003</v>
          </cell>
          <cell r="I321">
            <v>0.85209999999999997</v>
          </cell>
          <cell r="J321">
            <v>0.85209999999999997</v>
          </cell>
          <cell r="K321">
            <v>0.85209999999999997</v>
          </cell>
          <cell r="L321">
            <v>0.85209999999999997</v>
          </cell>
          <cell r="M321">
            <v>0.85209999999999997</v>
          </cell>
        </row>
        <row r="322">
          <cell r="A322">
            <v>1.4</v>
          </cell>
          <cell r="B322">
            <v>1.026</v>
          </cell>
          <cell r="C322">
            <v>1.026</v>
          </cell>
          <cell r="D322">
            <v>1.0271999999999999</v>
          </cell>
          <cell r="E322">
            <v>1.0271999999999999</v>
          </cell>
          <cell r="F322">
            <v>1.0271999999999999</v>
          </cell>
          <cell r="G322">
            <v>0.93079999999999996</v>
          </cell>
          <cell r="H322">
            <v>0.93079999999999996</v>
          </cell>
          <cell r="I322">
            <v>0.82379999999999998</v>
          </cell>
          <cell r="J322">
            <v>0.82379999999999998</v>
          </cell>
          <cell r="K322">
            <v>0.82379999999999998</v>
          </cell>
          <cell r="L322">
            <v>0.82379999999999998</v>
          </cell>
          <cell r="M322">
            <v>0.82379999999999998</v>
          </cell>
        </row>
        <row r="323">
          <cell r="A323">
            <v>1.5</v>
          </cell>
          <cell r="B323">
            <v>1</v>
          </cell>
          <cell r="C323">
            <v>1</v>
          </cell>
          <cell r="D323">
            <v>1</v>
          </cell>
          <cell r="E323">
            <v>1</v>
          </cell>
          <cell r="F323">
            <v>1</v>
          </cell>
          <cell r="G323">
            <v>0.90559999999999996</v>
          </cell>
          <cell r="H323">
            <v>0.90559999999999996</v>
          </cell>
          <cell r="I323">
            <v>0.80110000000000003</v>
          </cell>
          <cell r="J323">
            <v>0.80110000000000003</v>
          </cell>
          <cell r="K323">
            <v>0.80110000000000003</v>
          </cell>
          <cell r="L323">
            <v>0.80110000000000003</v>
          </cell>
          <cell r="M323">
            <v>0.80110000000000003</v>
          </cell>
        </row>
        <row r="324">
          <cell r="A324">
            <v>1.6</v>
          </cell>
          <cell r="B324">
            <v>0.97570000000000001</v>
          </cell>
          <cell r="C324">
            <v>0.97570000000000001</v>
          </cell>
          <cell r="D324">
            <v>0.97519999999999996</v>
          </cell>
          <cell r="E324">
            <v>0.97519999999999996</v>
          </cell>
          <cell r="F324">
            <v>0.97519999999999996</v>
          </cell>
          <cell r="G324">
            <v>0.8831</v>
          </cell>
          <cell r="H324">
            <v>0.8831</v>
          </cell>
          <cell r="I324">
            <v>0.78100000000000003</v>
          </cell>
          <cell r="J324">
            <v>0.78100000000000003</v>
          </cell>
          <cell r="K324">
            <v>0.78100000000000003</v>
          </cell>
          <cell r="L324">
            <v>0.78100000000000003</v>
          </cell>
          <cell r="M324">
            <v>0.78100000000000003</v>
          </cell>
        </row>
        <row r="325">
          <cell r="A325">
            <v>1.7</v>
          </cell>
          <cell r="B325">
            <v>0.95289999999999997</v>
          </cell>
          <cell r="C325">
            <v>0.95289999999999997</v>
          </cell>
          <cell r="D325">
            <v>0.95189999999999997</v>
          </cell>
          <cell r="E325">
            <v>0.95189999999999997</v>
          </cell>
          <cell r="F325">
            <v>0.95189999999999997</v>
          </cell>
          <cell r="G325">
            <v>0.86180000000000001</v>
          </cell>
          <cell r="H325">
            <v>0.86180000000000001</v>
          </cell>
          <cell r="I325">
            <v>0.7621</v>
          </cell>
          <cell r="J325">
            <v>0.7621</v>
          </cell>
          <cell r="K325">
            <v>0.7621</v>
          </cell>
          <cell r="L325">
            <v>0.7621</v>
          </cell>
          <cell r="M325">
            <v>0.7621</v>
          </cell>
        </row>
        <row r="326">
          <cell r="A326">
            <v>1.8</v>
          </cell>
          <cell r="B326">
            <v>0.93149999999999999</v>
          </cell>
          <cell r="C326">
            <v>0.93149999999999999</v>
          </cell>
          <cell r="D326">
            <v>0.93</v>
          </cell>
          <cell r="E326">
            <v>0.93</v>
          </cell>
          <cell r="F326">
            <v>0.93</v>
          </cell>
          <cell r="G326">
            <v>0.84179999999999999</v>
          </cell>
          <cell r="H326">
            <v>0.84179999999999999</v>
          </cell>
          <cell r="I326">
            <v>0.74419999999999997</v>
          </cell>
          <cell r="J326">
            <v>0.74419999999999997</v>
          </cell>
          <cell r="K326">
            <v>0.74419999999999997</v>
          </cell>
          <cell r="L326">
            <v>0.74419999999999997</v>
          </cell>
          <cell r="M326">
            <v>0.74419999999999997</v>
          </cell>
        </row>
        <row r="327">
          <cell r="A327">
            <v>1.9</v>
          </cell>
          <cell r="B327">
            <v>0.91139999999999999</v>
          </cell>
          <cell r="C327">
            <v>0.91139999999999999</v>
          </cell>
          <cell r="D327">
            <v>0.90939999999999999</v>
          </cell>
          <cell r="E327">
            <v>0.90939999999999999</v>
          </cell>
          <cell r="F327">
            <v>0.90939999999999999</v>
          </cell>
          <cell r="G327">
            <v>0.82289999999999996</v>
          </cell>
          <cell r="H327">
            <v>0.82289999999999996</v>
          </cell>
          <cell r="I327">
            <v>0.72740000000000005</v>
          </cell>
          <cell r="J327">
            <v>0.72740000000000005</v>
          </cell>
          <cell r="K327">
            <v>0.72740000000000005</v>
          </cell>
          <cell r="L327">
            <v>0.72740000000000005</v>
          </cell>
          <cell r="M327">
            <v>0.72740000000000005</v>
          </cell>
        </row>
        <row r="328">
          <cell r="A328">
            <v>2</v>
          </cell>
          <cell r="B328">
            <v>0.89270000000000005</v>
          </cell>
          <cell r="C328">
            <v>0.89270000000000005</v>
          </cell>
          <cell r="D328">
            <v>0.8901</v>
          </cell>
          <cell r="E328">
            <v>0.8901</v>
          </cell>
          <cell r="F328">
            <v>0.8901</v>
          </cell>
          <cell r="G328">
            <v>0.80530000000000002</v>
          </cell>
          <cell r="H328">
            <v>0.80530000000000002</v>
          </cell>
          <cell r="I328">
            <v>0.71160000000000001</v>
          </cell>
          <cell r="J328">
            <v>0.71160000000000001</v>
          </cell>
          <cell r="K328">
            <v>0.71160000000000001</v>
          </cell>
          <cell r="L328">
            <v>0.71160000000000001</v>
          </cell>
          <cell r="M328">
            <v>0.71160000000000001</v>
          </cell>
        </row>
        <row r="329">
          <cell r="A329">
            <v>2.1</v>
          </cell>
          <cell r="B329">
            <v>0.87519999999999998</v>
          </cell>
          <cell r="C329">
            <v>0.87519999999999998</v>
          </cell>
          <cell r="D329">
            <v>0.872</v>
          </cell>
          <cell r="E329">
            <v>0.872</v>
          </cell>
          <cell r="F329">
            <v>0.872</v>
          </cell>
          <cell r="G329">
            <v>0.78869999999999996</v>
          </cell>
          <cell r="H329">
            <v>0.78869999999999996</v>
          </cell>
          <cell r="I329">
            <v>0.69669999999999999</v>
          </cell>
          <cell r="J329">
            <v>0.69669999999999999</v>
          </cell>
          <cell r="K329">
            <v>0.69669999999999999</v>
          </cell>
          <cell r="L329">
            <v>0.69669999999999999</v>
          </cell>
          <cell r="M329">
            <v>0.69669999999999999</v>
          </cell>
        </row>
        <row r="330">
          <cell r="A330">
            <v>2.2000000000000002</v>
          </cell>
          <cell r="B330">
            <v>0.85880000000000001</v>
          </cell>
          <cell r="C330">
            <v>0.85880000000000001</v>
          </cell>
          <cell r="D330">
            <v>0.85499999999999998</v>
          </cell>
          <cell r="E330">
            <v>0.85499999999999998</v>
          </cell>
          <cell r="F330">
            <v>0.85499999999999998</v>
          </cell>
          <cell r="G330">
            <v>0.77300000000000002</v>
          </cell>
          <cell r="H330">
            <v>0.77300000000000002</v>
          </cell>
          <cell r="I330">
            <v>0.68269999999999997</v>
          </cell>
          <cell r="J330">
            <v>0.68269999999999997</v>
          </cell>
          <cell r="K330">
            <v>0.68269999999999997</v>
          </cell>
          <cell r="L330">
            <v>0.68269999999999997</v>
          </cell>
          <cell r="M330">
            <v>0.68269999999999997</v>
          </cell>
        </row>
        <row r="331">
          <cell r="A331">
            <v>2.2999999999999998</v>
          </cell>
          <cell r="B331">
            <v>0.84360000000000002</v>
          </cell>
          <cell r="C331">
            <v>0.84360000000000002</v>
          </cell>
          <cell r="D331">
            <v>0.83899999999999997</v>
          </cell>
          <cell r="E331">
            <v>0.83899999999999997</v>
          </cell>
          <cell r="F331">
            <v>0.83899999999999997</v>
          </cell>
          <cell r="G331">
            <v>0.75839999999999996</v>
          </cell>
          <cell r="H331">
            <v>0.75839999999999996</v>
          </cell>
          <cell r="I331">
            <v>0.66949999999999998</v>
          </cell>
          <cell r="J331">
            <v>0.66949999999999998</v>
          </cell>
          <cell r="K331">
            <v>0.66949999999999998</v>
          </cell>
          <cell r="L331">
            <v>0.66949999999999998</v>
          </cell>
          <cell r="M331">
            <v>0.66949999999999998</v>
          </cell>
        </row>
        <row r="332">
          <cell r="A332">
            <v>2.4</v>
          </cell>
          <cell r="B332">
            <v>0.82940000000000003</v>
          </cell>
          <cell r="C332">
            <v>0.82940000000000003</v>
          </cell>
          <cell r="D332">
            <v>0.82410000000000005</v>
          </cell>
          <cell r="E332">
            <v>0.82410000000000005</v>
          </cell>
          <cell r="F332">
            <v>0.82410000000000005</v>
          </cell>
          <cell r="G332">
            <v>0.74460000000000004</v>
          </cell>
          <cell r="H332">
            <v>0.74460000000000004</v>
          </cell>
          <cell r="I332">
            <v>0.65710000000000002</v>
          </cell>
          <cell r="J332">
            <v>0.65710000000000002</v>
          </cell>
          <cell r="K332">
            <v>0.65710000000000002</v>
          </cell>
          <cell r="L332">
            <v>0.65710000000000002</v>
          </cell>
          <cell r="M332">
            <v>0.65710000000000002</v>
          </cell>
        </row>
        <row r="333">
          <cell r="A333">
            <v>2.5</v>
          </cell>
          <cell r="B333">
            <v>0.81620000000000004</v>
          </cell>
          <cell r="C333">
            <v>0.81620000000000004</v>
          </cell>
          <cell r="D333">
            <v>0.81020000000000003</v>
          </cell>
          <cell r="E333">
            <v>0.81020000000000003</v>
          </cell>
          <cell r="F333">
            <v>0.81020000000000003</v>
          </cell>
          <cell r="G333">
            <v>0.73180000000000001</v>
          </cell>
          <cell r="H333">
            <v>0.73180000000000001</v>
          </cell>
          <cell r="I333">
            <v>0.64549999999999996</v>
          </cell>
          <cell r="J333">
            <v>0.64549999999999996</v>
          </cell>
          <cell r="K333">
            <v>0.64549999999999996</v>
          </cell>
          <cell r="L333">
            <v>0.64549999999999996</v>
          </cell>
          <cell r="M333">
            <v>0.64549999999999996</v>
          </cell>
        </row>
        <row r="334">
          <cell r="A334">
            <v>2.6</v>
          </cell>
          <cell r="B334">
            <v>0.80389999999999995</v>
          </cell>
          <cell r="C334">
            <v>0.80389999999999995</v>
          </cell>
          <cell r="D334">
            <v>0.79710000000000003</v>
          </cell>
          <cell r="E334">
            <v>0.79710000000000003</v>
          </cell>
          <cell r="F334">
            <v>0.79710000000000003</v>
          </cell>
          <cell r="G334">
            <v>0.71970000000000001</v>
          </cell>
          <cell r="H334">
            <v>0.71970000000000001</v>
          </cell>
          <cell r="I334">
            <v>0.63460000000000005</v>
          </cell>
          <cell r="J334">
            <v>0.63460000000000005</v>
          </cell>
          <cell r="K334">
            <v>0.63460000000000005</v>
          </cell>
          <cell r="L334">
            <v>0.63460000000000005</v>
          </cell>
          <cell r="M334">
            <v>0.63460000000000005</v>
          </cell>
        </row>
        <row r="335">
          <cell r="A335">
            <v>2.7</v>
          </cell>
          <cell r="B335">
            <v>0.79249999999999998</v>
          </cell>
          <cell r="C335">
            <v>0.79249999999999998</v>
          </cell>
          <cell r="D335">
            <v>0.78490000000000004</v>
          </cell>
          <cell r="E335">
            <v>0.78490000000000004</v>
          </cell>
          <cell r="F335">
            <v>0.78490000000000004</v>
          </cell>
          <cell r="G335">
            <v>0.70840000000000003</v>
          </cell>
          <cell r="H335">
            <v>0.70840000000000003</v>
          </cell>
          <cell r="I335">
            <v>0.62439999999999996</v>
          </cell>
          <cell r="J335">
            <v>0.62439999999999996</v>
          </cell>
          <cell r="K335">
            <v>0.62439999999999996</v>
          </cell>
          <cell r="L335">
            <v>0.62439999999999996</v>
          </cell>
          <cell r="M335">
            <v>0.62439999999999996</v>
          </cell>
        </row>
        <row r="336">
          <cell r="A336">
            <v>2.8</v>
          </cell>
          <cell r="B336">
            <v>0.78190000000000004</v>
          </cell>
          <cell r="C336">
            <v>0.78190000000000004</v>
          </cell>
          <cell r="D336">
            <v>0.77359999999999995</v>
          </cell>
          <cell r="E336">
            <v>0.77359999999999995</v>
          </cell>
          <cell r="F336">
            <v>0.77359999999999995</v>
          </cell>
          <cell r="G336">
            <v>0.69789999999999996</v>
          </cell>
          <cell r="H336">
            <v>0.69789999999999996</v>
          </cell>
          <cell r="I336">
            <v>0.61480000000000001</v>
          </cell>
          <cell r="J336">
            <v>0.61480000000000001</v>
          </cell>
          <cell r="K336">
            <v>0.61480000000000001</v>
          </cell>
          <cell r="L336">
            <v>0.61480000000000001</v>
          </cell>
          <cell r="M336">
            <v>0.61480000000000001</v>
          </cell>
        </row>
        <row r="337">
          <cell r="A337">
            <v>2.9</v>
          </cell>
          <cell r="B337">
            <v>0.77210000000000001</v>
          </cell>
          <cell r="C337">
            <v>0.77210000000000001</v>
          </cell>
          <cell r="D337">
            <v>0.76300000000000001</v>
          </cell>
          <cell r="E337">
            <v>0.76300000000000001</v>
          </cell>
          <cell r="F337">
            <v>0.76300000000000001</v>
          </cell>
          <cell r="G337">
            <v>0.68799999999999994</v>
          </cell>
          <cell r="H337">
            <v>0.68799999999999994</v>
          </cell>
          <cell r="I337">
            <v>0.60589999999999999</v>
          </cell>
          <cell r="J337">
            <v>0.60589999999999999</v>
          </cell>
          <cell r="K337">
            <v>0.60589999999999999</v>
          </cell>
          <cell r="L337">
            <v>0.60589999999999999</v>
          </cell>
          <cell r="M337">
            <v>0.60589999999999999</v>
          </cell>
        </row>
        <row r="338">
          <cell r="A338">
            <v>3</v>
          </cell>
          <cell r="B338">
            <v>0.7631</v>
          </cell>
          <cell r="C338">
            <v>0.7631</v>
          </cell>
          <cell r="D338">
            <v>0.75309999999999999</v>
          </cell>
          <cell r="E338">
            <v>0.75309999999999999</v>
          </cell>
          <cell r="F338">
            <v>0.75309999999999999</v>
          </cell>
          <cell r="G338">
            <v>0.67879999999999996</v>
          </cell>
          <cell r="H338">
            <v>0.67879999999999996</v>
          </cell>
          <cell r="I338">
            <v>0.59750000000000003</v>
          </cell>
          <cell r="J338">
            <v>0.59750000000000003</v>
          </cell>
          <cell r="K338">
            <v>0.59750000000000003</v>
          </cell>
          <cell r="L338">
            <v>0.59750000000000003</v>
          </cell>
          <cell r="M338">
            <v>0.59750000000000003</v>
          </cell>
        </row>
        <row r="339">
          <cell r="A339">
            <v>3.1</v>
          </cell>
          <cell r="B339">
            <v>0.75470000000000004</v>
          </cell>
          <cell r="C339">
            <v>0.75470000000000004</v>
          </cell>
          <cell r="D339">
            <v>0.74399999999999999</v>
          </cell>
          <cell r="E339">
            <v>0.74399999999999999</v>
          </cell>
          <cell r="F339">
            <v>0.74399999999999999</v>
          </cell>
          <cell r="G339">
            <v>0.67020000000000002</v>
          </cell>
          <cell r="H339">
            <v>0.67020000000000002</v>
          </cell>
          <cell r="I339">
            <v>0.5897</v>
          </cell>
          <cell r="J339">
            <v>0.5897</v>
          </cell>
          <cell r="K339">
            <v>0.5897</v>
          </cell>
          <cell r="L339">
            <v>0.5897</v>
          </cell>
          <cell r="M339">
            <v>0.5897</v>
          </cell>
        </row>
        <row r="340">
          <cell r="A340">
            <v>3.2</v>
          </cell>
          <cell r="B340">
            <v>0.747</v>
          </cell>
          <cell r="C340">
            <v>0.747</v>
          </cell>
          <cell r="D340">
            <v>0.73540000000000005</v>
          </cell>
          <cell r="E340">
            <v>0.73540000000000005</v>
          </cell>
          <cell r="F340">
            <v>0.73540000000000005</v>
          </cell>
          <cell r="G340">
            <v>0.66220000000000001</v>
          </cell>
          <cell r="H340">
            <v>0.66220000000000001</v>
          </cell>
          <cell r="I340">
            <v>0.58230000000000004</v>
          </cell>
          <cell r="J340">
            <v>0.58230000000000004</v>
          </cell>
          <cell r="K340">
            <v>0.58230000000000004</v>
          </cell>
          <cell r="L340">
            <v>0.58230000000000004</v>
          </cell>
          <cell r="M340">
            <v>0.58230000000000004</v>
          </cell>
        </row>
        <row r="341">
          <cell r="A341">
            <v>3.3</v>
          </cell>
          <cell r="B341">
            <v>0.7399</v>
          </cell>
          <cell r="C341">
            <v>0.7399</v>
          </cell>
          <cell r="D341">
            <v>0.72750000000000004</v>
          </cell>
          <cell r="E341">
            <v>0.72750000000000004</v>
          </cell>
          <cell r="F341">
            <v>0.72750000000000004</v>
          </cell>
          <cell r="G341">
            <v>0.65480000000000005</v>
          </cell>
          <cell r="H341">
            <v>0.65480000000000005</v>
          </cell>
          <cell r="I341">
            <v>0.57540000000000002</v>
          </cell>
          <cell r="J341">
            <v>0.57540000000000002</v>
          </cell>
          <cell r="K341">
            <v>0.57540000000000002</v>
          </cell>
          <cell r="L341">
            <v>0.57540000000000002</v>
          </cell>
          <cell r="M341">
            <v>0.57540000000000002</v>
          </cell>
        </row>
        <row r="342">
          <cell r="A342">
            <v>3.4</v>
          </cell>
          <cell r="B342">
            <v>0.73340000000000005</v>
          </cell>
          <cell r="C342">
            <v>0.73340000000000005</v>
          </cell>
          <cell r="D342">
            <v>0.72009999999999996</v>
          </cell>
          <cell r="E342">
            <v>0.72009999999999996</v>
          </cell>
          <cell r="F342">
            <v>0.72009999999999996</v>
          </cell>
          <cell r="G342">
            <v>0.64780000000000004</v>
          </cell>
          <cell r="H342">
            <v>0.64780000000000004</v>
          </cell>
          <cell r="I342">
            <v>0.56899999999999995</v>
          </cell>
          <cell r="J342">
            <v>0.56899999999999995</v>
          </cell>
          <cell r="K342">
            <v>0.56899999999999995</v>
          </cell>
          <cell r="L342">
            <v>0.56899999999999995</v>
          </cell>
          <cell r="M342">
            <v>0.56899999999999995</v>
          </cell>
        </row>
        <row r="343">
          <cell r="A343">
            <v>3.5</v>
          </cell>
          <cell r="B343">
            <v>0.72740000000000005</v>
          </cell>
          <cell r="C343">
            <v>0.72740000000000005</v>
          </cell>
          <cell r="D343">
            <v>0.71330000000000005</v>
          </cell>
          <cell r="E343">
            <v>0.71330000000000005</v>
          </cell>
          <cell r="F343">
            <v>0.71330000000000005</v>
          </cell>
          <cell r="G343">
            <v>0.64129999999999998</v>
          </cell>
          <cell r="H343">
            <v>0.64129999999999998</v>
          </cell>
          <cell r="I343">
            <v>0.56310000000000004</v>
          </cell>
          <cell r="J343">
            <v>0.56310000000000004</v>
          </cell>
          <cell r="K343">
            <v>0.56310000000000004</v>
          </cell>
          <cell r="L343">
            <v>0.56310000000000004</v>
          </cell>
          <cell r="M343">
            <v>0.56310000000000004</v>
          </cell>
        </row>
        <row r="344">
          <cell r="A344">
            <v>3.6</v>
          </cell>
          <cell r="B344">
            <v>0.72189999999999999</v>
          </cell>
          <cell r="C344">
            <v>0.72189999999999999</v>
          </cell>
          <cell r="D344">
            <v>0.70699999999999996</v>
          </cell>
          <cell r="E344">
            <v>0.70699999999999996</v>
          </cell>
          <cell r="F344">
            <v>0.70699999999999996</v>
          </cell>
          <cell r="G344">
            <v>0.63529999999999998</v>
          </cell>
          <cell r="H344">
            <v>0.63529999999999998</v>
          </cell>
          <cell r="I344">
            <v>0.5575</v>
          </cell>
          <cell r="J344">
            <v>0.5575</v>
          </cell>
          <cell r="K344">
            <v>0.5575</v>
          </cell>
          <cell r="L344">
            <v>0.5575</v>
          </cell>
          <cell r="M344">
            <v>0.5575</v>
          </cell>
        </row>
        <row r="345">
          <cell r="A345">
            <v>3.7</v>
          </cell>
          <cell r="B345">
            <v>0.71679999999999999</v>
          </cell>
          <cell r="C345">
            <v>0.71679999999999999</v>
          </cell>
          <cell r="D345">
            <v>0.70109999999999995</v>
          </cell>
          <cell r="E345">
            <v>0.70109999999999995</v>
          </cell>
          <cell r="F345">
            <v>0.70109999999999995</v>
          </cell>
          <cell r="G345">
            <v>0.62970000000000004</v>
          </cell>
          <cell r="H345">
            <v>0.62970000000000004</v>
          </cell>
          <cell r="I345">
            <v>0.55230000000000001</v>
          </cell>
          <cell r="J345">
            <v>0.55230000000000001</v>
          </cell>
          <cell r="K345">
            <v>0.55230000000000001</v>
          </cell>
          <cell r="L345">
            <v>0.55230000000000001</v>
          </cell>
          <cell r="M345">
            <v>0.55230000000000001</v>
          </cell>
        </row>
        <row r="346">
          <cell r="A346">
            <v>3.8</v>
          </cell>
          <cell r="B346">
            <v>0.71220000000000006</v>
          </cell>
          <cell r="C346">
            <v>0.71220000000000006</v>
          </cell>
          <cell r="D346">
            <v>0.6956</v>
          </cell>
          <cell r="E346">
            <v>0.6956</v>
          </cell>
          <cell r="F346">
            <v>0.6956</v>
          </cell>
          <cell r="G346">
            <v>0.62439999999999996</v>
          </cell>
          <cell r="H346">
            <v>0.62439999999999996</v>
          </cell>
          <cell r="I346">
            <v>0.5474</v>
          </cell>
          <cell r="J346">
            <v>0.5474</v>
          </cell>
          <cell r="K346">
            <v>0.5474</v>
          </cell>
          <cell r="L346">
            <v>0.5474</v>
          </cell>
          <cell r="M346">
            <v>0.5474</v>
          </cell>
        </row>
        <row r="347">
          <cell r="A347">
            <v>3.9</v>
          </cell>
          <cell r="B347">
            <v>0.70799999999999996</v>
          </cell>
          <cell r="C347">
            <v>0.70799999999999996</v>
          </cell>
          <cell r="D347">
            <v>0.69059999999999999</v>
          </cell>
          <cell r="E347">
            <v>0.69059999999999999</v>
          </cell>
          <cell r="F347">
            <v>0.69059999999999999</v>
          </cell>
          <cell r="G347">
            <v>0.61950000000000005</v>
          </cell>
          <cell r="H347">
            <v>0.61950000000000005</v>
          </cell>
          <cell r="I347">
            <v>0.54279999999999995</v>
          </cell>
          <cell r="J347">
            <v>0.54279999999999995</v>
          </cell>
          <cell r="K347">
            <v>0.54279999999999995</v>
          </cell>
          <cell r="L347">
            <v>0.54279999999999995</v>
          </cell>
          <cell r="M347">
            <v>0.54279999999999995</v>
          </cell>
        </row>
        <row r="348">
          <cell r="A348">
            <v>4</v>
          </cell>
          <cell r="B348">
            <v>0.70409999999999995</v>
          </cell>
          <cell r="C348">
            <v>0.70409999999999995</v>
          </cell>
          <cell r="D348">
            <v>0.68589999999999995</v>
          </cell>
          <cell r="E348">
            <v>0.68589999999999995</v>
          </cell>
          <cell r="F348">
            <v>0.68589999999999995</v>
          </cell>
          <cell r="G348">
            <v>0.61499999999999999</v>
          </cell>
          <cell r="H348">
            <v>0.61499999999999999</v>
          </cell>
          <cell r="I348">
            <v>0.53859999999999997</v>
          </cell>
          <cell r="J348">
            <v>0.53859999999999997</v>
          </cell>
          <cell r="K348">
            <v>0.53859999999999997</v>
          </cell>
          <cell r="L348">
            <v>0.53859999999999997</v>
          </cell>
          <cell r="M348">
            <v>0.53859999999999997</v>
          </cell>
        </row>
        <row r="349">
          <cell r="A349">
            <v>4.0999999999999996</v>
          </cell>
          <cell r="B349">
            <v>0.7006</v>
          </cell>
          <cell r="C349">
            <v>0.7006</v>
          </cell>
          <cell r="D349">
            <v>0.68159999999999998</v>
          </cell>
          <cell r="E349">
            <v>0.68159999999999998</v>
          </cell>
          <cell r="F349">
            <v>0.68159999999999998</v>
          </cell>
          <cell r="G349">
            <v>0.61080000000000001</v>
          </cell>
          <cell r="H349">
            <v>0.61080000000000001</v>
          </cell>
          <cell r="I349">
            <v>0.53459999999999996</v>
          </cell>
          <cell r="J349">
            <v>0.53459999999999996</v>
          </cell>
          <cell r="K349">
            <v>0.53459999999999996</v>
          </cell>
          <cell r="L349">
            <v>0.53459999999999996</v>
          </cell>
          <cell r="M349">
            <v>0.53459999999999996</v>
          </cell>
        </row>
        <row r="350">
          <cell r="A350">
            <v>4.2</v>
          </cell>
          <cell r="B350">
            <v>0.69740000000000002</v>
          </cell>
          <cell r="C350">
            <v>0.69740000000000002</v>
          </cell>
          <cell r="D350">
            <v>0.67759999999999998</v>
          </cell>
          <cell r="E350">
            <v>0.67759999999999998</v>
          </cell>
          <cell r="F350">
            <v>0.67759999999999998</v>
          </cell>
          <cell r="G350">
            <v>0.60699999999999998</v>
          </cell>
          <cell r="H350">
            <v>0.60699999999999998</v>
          </cell>
          <cell r="I350">
            <v>0.53090000000000004</v>
          </cell>
          <cell r="J350">
            <v>0.53090000000000004</v>
          </cell>
          <cell r="K350">
            <v>0.53090000000000004</v>
          </cell>
          <cell r="L350">
            <v>0.53090000000000004</v>
          </cell>
          <cell r="M350">
            <v>0.53090000000000004</v>
          </cell>
        </row>
        <row r="351">
          <cell r="A351">
            <v>4.3</v>
          </cell>
          <cell r="B351">
            <v>0.69450000000000001</v>
          </cell>
          <cell r="C351">
            <v>0.69450000000000001</v>
          </cell>
          <cell r="D351">
            <v>0.67390000000000005</v>
          </cell>
          <cell r="E351">
            <v>0.67390000000000005</v>
          </cell>
          <cell r="F351">
            <v>0.67390000000000005</v>
          </cell>
          <cell r="G351">
            <v>0.60329999999999995</v>
          </cell>
          <cell r="H351">
            <v>0.60329999999999995</v>
          </cell>
          <cell r="I351">
            <v>0.52739999999999998</v>
          </cell>
          <cell r="J351">
            <v>0.52739999999999998</v>
          </cell>
          <cell r="K351">
            <v>0.52739999999999998</v>
          </cell>
          <cell r="L351">
            <v>0.52739999999999998</v>
          </cell>
          <cell r="M351">
            <v>0.52739999999999998</v>
          </cell>
        </row>
        <row r="352">
          <cell r="A352">
            <v>4.4000000000000004</v>
          </cell>
          <cell r="B352">
            <v>0.69179999999999997</v>
          </cell>
          <cell r="C352">
            <v>0.69179999999999997</v>
          </cell>
          <cell r="D352">
            <v>0.67049999999999998</v>
          </cell>
          <cell r="E352">
            <v>0.67049999999999998</v>
          </cell>
          <cell r="F352">
            <v>0.67049999999999998</v>
          </cell>
          <cell r="G352">
            <v>0.59989999999999999</v>
          </cell>
          <cell r="H352">
            <v>0.59989999999999999</v>
          </cell>
          <cell r="I352">
            <v>0.5242</v>
          </cell>
          <cell r="J352">
            <v>0.5242</v>
          </cell>
          <cell r="K352">
            <v>0.5242</v>
          </cell>
          <cell r="L352">
            <v>0.5242</v>
          </cell>
          <cell r="M352">
            <v>0.5242</v>
          </cell>
        </row>
        <row r="353">
          <cell r="A353">
            <v>4.5</v>
          </cell>
          <cell r="B353">
            <v>0.68940000000000001</v>
          </cell>
          <cell r="C353">
            <v>0.68940000000000001</v>
          </cell>
          <cell r="D353">
            <v>0.6673</v>
          </cell>
          <cell r="E353">
            <v>0.6673</v>
          </cell>
          <cell r="F353">
            <v>0.6673</v>
          </cell>
          <cell r="G353">
            <v>0.59670000000000001</v>
          </cell>
          <cell r="H353">
            <v>0.59670000000000001</v>
          </cell>
          <cell r="I353">
            <v>0.52110000000000001</v>
          </cell>
          <cell r="J353">
            <v>0.52110000000000001</v>
          </cell>
          <cell r="K353">
            <v>0.52110000000000001</v>
          </cell>
          <cell r="L353">
            <v>0.52110000000000001</v>
          </cell>
          <cell r="M353">
            <v>0.52110000000000001</v>
          </cell>
        </row>
        <row r="354">
          <cell r="A354">
            <v>4.5999999999999996</v>
          </cell>
          <cell r="B354">
            <v>0.68720000000000003</v>
          </cell>
          <cell r="C354">
            <v>0.68720000000000003</v>
          </cell>
          <cell r="D354">
            <v>0.6643</v>
          </cell>
          <cell r="E354">
            <v>0.6643</v>
          </cell>
          <cell r="F354">
            <v>0.6643</v>
          </cell>
          <cell r="G354">
            <v>0.59379999999999999</v>
          </cell>
          <cell r="H354">
            <v>0.59379999999999999</v>
          </cell>
          <cell r="I354">
            <v>0.51819999999999999</v>
          </cell>
          <cell r="J354">
            <v>0.51819999999999999</v>
          </cell>
          <cell r="K354">
            <v>0.51819999999999999</v>
          </cell>
          <cell r="L354">
            <v>0.51819999999999999</v>
          </cell>
          <cell r="M354">
            <v>0.51819999999999999</v>
          </cell>
        </row>
        <row r="355">
          <cell r="A355">
            <v>4.7</v>
          </cell>
          <cell r="B355">
            <v>0.68520000000000003</v>
          </cell>
          <cell r="C355">
            <v>0.68520000000000003</v>
          </cell>
          <cell r="D355">
            <v>0.66149999999999998</v>
          </cell>
          <cell r="E355">
            <v>0.66149999999999998</v>
          </cell>
          <cell r="F355">
            <v>0.66149999999999998</v>
          </cell>
          <cell r="G355">
            <v>0.59109999999999996</v>
          </cell>
          <cell r="H355">
            <v>0.59109999999999996</v>
          </cell>
          <cell r="I355">
            <v>0.51559999999999995</v>
          </cell>
          <cell r="J355">
            <v>0.51559999999999995</v>
          </cell>
          <cell r="K355">
            <v>0.51559999999999995</v>
          </cell>
          <cell r="L355">
            <v>0.51559999999999995</v>
          </cell>
          <cell r="M355">
            <v>0.51559999999999995</v>
          </cell>
        </row>
        <row r="356">
          <cell r="A356">
            <v>4.8</v>
          </cell>
          <cell r="B356">
            <v>0.68340000000000001</v>
          </cell>
          <cell r="C356">
            <v>0.68340000000000001</v>
          </cell>
          <cell r="D356">
            <v>0.65900000000000003</v>
          </cell>
          <cell r="E356">
            <v>0.65900000000000003</v>
          </cell>
          <cell r="F356">
            <v>0.65900000000000003</v>
          </cell>
          <cell r="G356">
            <v>0.58850000000000002</v>
          </cell>
          <cell r="H356">
            <v>0.58850000000000002</v>
          </cell>
          <cell r="I356">
            <v>0.51300000000000001</v>
          </cell>
          <cell r="J356">
            <v>0.51300000000000001</v>
          </cell>
          <cell r="K356">
            <v>0.51300000000000001</v>
          </cell>
          <cell r="L356">
            <v>0.51300000000000001</v>
          </cell>
          <cell r="M356">
            <v>0.51300000000000001</v>
          </cell>
        </row>
        <row r="357">
          <cell r="A357">
            <v>4.9000000000000004</v>
          </cell>
          <cell r="B357">
            <v>0.68179999999999996</v>
          </cell>
          <cell r="C357">
            <v>0.68179999999999996</v>
          </cell>
          <cell r="D357">
            <v>0.65659999999999996</v>
          </cell>
          <cell r="E357">
            <v>0.65659999999999996</v>
          </cell>
          <cell r="F357">
            <v>0.65659999999999996</v>
          </cell>
          <cell r="G357">
            <v>0.58599999999999997</v>
          </cell>
          <cell r="H357">
            <v>0.58599999999999997</v>
          </cell>
          <cell r="I357">
            <v>0.51060000000000005</v>
          </cell>
          <cell r="J357">
            <v>0.51060000000000005</v>
          </cell>
          <cell r="K357">
            <v>0.51060000000000005</v>
          </cell>
          <cell r="L357">
            <v>0.51060000000000005</v>
          </cell>
          <cell r="M357">
            <v>0.51060000000000005</v>
          </cell>
        </row>
        <row r="358">
          <cell r="A358">
            <v>5</v>
          </cell>
          <cell r="B358">
            <v>0.68030000000000002</v>
          </cell>
          <cell r="C358">
            <v>0.68030000000000002</v>
          </cell>
          <cell r="D358">
            <v>0.65439999999999998</v>
          </cell>
          <cell r="E358">
            <v>0.65439999999999998</v>
          </cell>
          <cell r="F358">
            <v>0.65439999999999998</v>
          </cell>
          <cell r="G358">
            <v>0.58379999999999999</v>
          </cell>
          <cell r="H358">
            <v>0.58379999999999999</v>
          </cell>
          <cell r="I358">
            <v>0.50839999999999996</v>
          </cell>
          <cell r="J358">
            <v>0.50839999999999996</v>
          </cell>
          <cell r="K358">
            <v>0.50839999999999996</v>
          </cell>
          <cell r="L358">
            <v>0.50839999999999996</v>
          </cell>
          <cell r="M358">
            <v>0.50839999999999996</v>
          </cell>
        </row>
        <row r="359">
          <cell r="A359">
            <v>5.0999999999999996</v>
          </cell>
          <cell r="B359">
            <v>0.67889999999999995</v>
          </cell>
          <cell r="C359">
            <v>0.67889999999999995</v>
          </cell>
          <cell r="D359">
            <v>0.65229999999999999</v>
          </cell>
          <cell r="E359">
            <v>0.65229999999999999</v>
          </cell>
          <cell r="F359">
            <v>0.65229999999999999</v>
          </cell>
          <cell r="G359">
            <v>0.58160000000000001</v>
          </cell>
          <cell r="H359">
            <v>0.58160000000000001</v>
          </cell>
          <cell r="I359">
            <v>0.50629999999999997</v>
          </cell>
          <cell r="J359">
            <v>0.50629999999999997</v>
          </cell>
          <cell r="K359">
            <v>0.50629999999999997</v>
          </cell>
          <cell r="L359">
            <v>0.50629999999999997</v>
          </cell>
          <cell r="M359">
            <v>0.50629999999999997</v>
          </cell>
        </row>
        <row r="360">
          <cell r="A360">
            <v>5.2</v>
          </cell>
          <cell r="B360">
            <v>0.67749999999999999</v>
          </cell>
          <cell r="C360">
            <v>0.67749999999999999</v>
          </cell>
          <cell r="D360">
            <v>0.65029999999999999</v>
          </cell>
          <cell r="E360">
            <v>0.65029999999999999</v>
          </cell>
          <cell r="F360">
            <v>0.65029999999999999</v>
          </cell>
          <cell r="G360">
            <v>0.57950000000000002</v>
          </cell>
          <cell r="H360">
            <v>0.57950000000000002</v>
          </cell>
          <cell r="I360">
            <v>0.50419999999999998</v>
          </cell>
          <cell r="J360">
            <v>0.50419999999999998</v>
          </cell>
          <cell r="K360">
            <v>0.50419999999999998</v>
          </cell>
          <cell r="L360">
            <v>0.50419999999999998</v>
          </cell>
          <cell r="M360">
            <v>0.50419999999999998</v>
          </cell>
        </row>
        <row r="361">
          <cell r="A361">
            <v>5.3</v>
          </cell>
          <cell r="B361">
            <v>0.67620000000000002</v>
          </cell>
          <cell r="C361">
            <v>0.67620000000000002</v>
          </cell>
          <cell r="D361">
            <v>0.64839999999999998</v>
          </cell>
          <cell r="E361">
            <v>0.64839999999999998</v>
          </cell>
          <cell r="F361">
            <v>0.64839999999999998</v>
          </cell>
          <cell r="G361">
            <v>0.5776</v>
          </cell>
          <cell r="H361">
            <v>0.5776</v>
          </cell>
          <cell r="I361">
            <v>0.50229999999999997</v>
          </cell>
          <cell r="J361">
            <v>0.50229999999999997</v>
          </cell>
          <cell r="K361">
            <v>0.50229999999999997</v>
          </cell>
          <cell r="L361">
            <v>0.50229999999999997</v>
          </cell>
          <cell r="M361">
            <v>0.50229999999999997</v>
          </cell>
        </row>
        <row r="362">
          <cell r="A362">
            <v>5.4</v>
          </cell>
          <cell r="B362">
            <v>0.67500000000000004</v>
          </cell>
          <cell r="C362">
            <v>0.67500000000000004</v>
          </cell>
          <cell r="D362">
            <v>0.64670000000000005</v>
          </cell>
          <cell r="E362">
            <v>0.64670000000000005</v>
          </cell>
          <cell r="F362">
            <v>0.64670000000000005</v>
          </cell>
          <cell r="G362">
            <v>0.57579999999999998</v>
          </cell>
          <cell r="H362">
            <v>0.57579999999999998</v>
          </cell>
          <cell r="I362">
            <v>0.50039999999999996</v>
          </cell>
          <cell r="J362">
            <v>0.50039999999999996</v>
          </cell>
          <cell r="K362">
            <v>0.50039999999999996</v>
          </cell>
          <cell r="L362">
            <v>0.50039999999999996</v>
          </cell>
          <cell r="M362">
            <v>0.50039999999999996</v>
          </cell>
        </row>
        <row r="363">
          <cell r="A363">
            <v>5.5</v>
          </cell>
          <cell r="B363">
            <v>0.67379999999999995</v>
          </cell>
          <cell r="C363">
            <v>0.67379999999999995</v>
          </cell>
          <cell r="D363">
            <v>0.64500000000000002</v>
          </cell>
          <cell r="E363">
            <v>0.64500000000000002</v>
          </cell>
          <cell r="F363">
            <v>0.64500000000000002</v>
          </cell>
          <cell r="G363">
            <v>0.57399999999999995</v>
          </cell>
          <cell r="H363">
            <v>0.57399999999999995</v>
          </cell>
          <cell r="I363">
            <v>0.49869999999999998</v>
          </cell>
          <cell r="J363">
            <v>0.49869999999999998</v>
          </cell>
          <cell r="K363">
            <v>0.49869999999999998</v>
          </cell>
          <cell r="L363">
            <v>0.49869999999999998</v>
          </cell>
          <cell r="M363">
            <v>0.49869999999999998</v>
          </cell>
        </row>
        <row r="364">
          <cell r="A364">
            <v>5.6</v>
          </cell>
          <cell r="B364">
            <v>0.67259999999999998</v>
          </cell>
          <cell r="C364">
            <v>0.67259999999999998</v>
          </cell>
          <cell r="D364">
            <v>0.64339999999999997</v>
          </cell>
          <cell r="E364">
            <v>0.64339999999999997</v>
          </cell>
          <cell r="F364">
            <v>0.64339999999999997</v>
          </cell>
          <cell r="G364">
            <v>0.57240000000000002</v>
          </cell>
          <cell r="H364">
            <v>0.57240000000000002</v>
          </cell>
          <cell r="I364">
            <v>0.49690000000000001</v>
          </cell>
          <cell r="J364">
            <v>0.49690000000000001</v>
          </cell>
          <cell r="K364">
            <v>0.49690000000000001</v>
          </cell>
          <cell r="L364">
            <v>0.49690000000000001</v>
          </cell>
          <cell r="M364">
            <v>0.49690000000000001</v>
          </cell>
        </row>
        <row r="365">
          <cell r="A365">
            <v>5.7</v>
          </cell>
          <cell r="B365">
            <v>0.6714</v>
          </cell>
          <cell r="C365">
            <v>0.6714</v>
          </cell>
          <cell r="D365">
            <v>0.64190000000000003</v>
          </cell>
          <cell r="E365">
            <v>0.64190000000000003</v>
          </cell>
          <cell r="F365">
            <v>0.64190000000000003</v>
          </cell>
          <cell r="G365">
            <v>0.57069999999999999</v>
          </cell>
          <cell r="H365">
            <v>0.57069999999999999</v>
          </cell>
          <cell r="I365">
            <v>0.49519999999999997</v>
          </cell>
          <cell r="J365">
            <v>0.49519999999999997</v>
          </cell>
          <cell r="K365">
            <v>0.49519999999999997</v>
          </cell>
          <cell r="L365">
            <v>0.49519999999999997</v>
          </cell>
          <cell r="M365">
            <v>0.49519999999999997</v>
          </cell>
        </row>
        <row r="366">
          <cell r="A366">
            <v>5.8</v>
          </cell>
          <cell r="B366">
            <v>0.67020000000000002</v>
          </cell>
          <cell r="C366">
            <v>0.67020000000000002</v>
          </cell>
          <cell r="D366">
            <v>0.64039999999999997</v>
          </cell>
          <cell r="E366">
            <v>0.64039999999999997</v>
          </cell>
          <cell r="F366">
            <v>0.64039999999999997</v>
          </cell>
          <cell r="G366">
            <v>0.56910000000000005</v>
          </cell>
          <cell r="H366">
            <v>0.56910000000000005</v>
          </cell>
          <cell r="I366">
            <v>0.49359999999999998</v>
          </cell>
          <cell r="J366">
            <v>0.49359999999999998</v>
          </cell>
          <cell r="K366">
            <v>0.49359999999999998</v>
          </cell>
          <cell r="L366">
            <v>0.49359999999999998</v>
          </cell>
          <cell r="M366">
            <v>0.49359999999999998</v>
          </cell>
        </row>
        <row r="367">
          <cell r="A367">
            <v>5.9</v>
          </cell>
          <cell r="B367">
            <v>0.66910000000000003</v>
          </cell>
          <cell r="C367">
            <v>0.66910000000000003</v>
          </cell>
          <cell r="D367">
            <v>0.63890000000000002</v>
          </cell>
          <cell r="E367">
            <v>0.63890000000000002</v>
          </cell>
          <cell r="F367">
            <v>0.63890000000000002</v>
          </cell>
          <cell r="G367">
            <v>0.5675</v>
          </cell>
          <cell r="H367">
            <v>0.5675</v>
          </cell>
          <cell r="I367">
            <v>0.4919</v>
          </cell>
          <cell r="J367">
            <v>0.4919</v>
          </cell>
          <cell r="K367">
            <v>0.4919</v>
          </cell>
          <cell r="L367">
            <v>0.4919</v>
          </cell>
          <cell r="M367">
            <v>0.4919</v>
          </cell>
        </row>
        <row r="368">
          <cell r="A368">
            <v>6</v>
          </cell>
          <cell r="B368">
            <v>0.66800000000000004</v>
          </cell>
          <cell r="C368">
            <v>0.66800000000000004</v>
          </cell>
          <cell r="D368">
            <v>0.63739999999999997</v>
          </cell>
          <cell r="E368">
            <v>0.63739999999999997</v>
          </cell>
          <cell r="F368">
            <v>0.63739999999999997</v>
          </cell>
          <cell r="G368">
            <v>0.56589999999999996</v>
          </cell>
          <cell r="H368">
            <v>0.56589999999999996</v>
          </cell>
          <cell r="I368">
            <v>0.49020000000000002</v>
          </cell>
          <cell r="J368">
            <v>0.49020000000000002</v>
          </cell>
          <cell r="K368">
            <v>0.49020000000000002</v>
          </cell>
          <cell r="L368">
            <v>0.49020000000000002</v>
          </cell>
          <cell r="M368">
            <v>0.49020000000000002</v>
          </cell>
        </row>
        <row r="369">
          <cell r="A369">
            <v>6.1</v>
          </cell>
          <cell r="B369">
            <v>0.66690000000000005</v>
          </cell>
          <cell r="C369">
            <v>0.66690000000000005</v>
          </cell>
          <cell r="D369">
            <v>0.63590000000000002</v>
          </cell>
          <cell r="E369">
            <v>0.63590000000000002</v>
          </cell>
          <cell r="F369">
            <v>0.63590000000000002</v>
          </cell>
          <cell r="G369">
            <v>0.56440000000000001</v>
          </cell>
          <cell r="H369">
            <v>0.56440000000000001</v>
          </cell>
          <cell r="I369">
            <v>0.48849999999999999</v>
          </cell>
          <cell r="J369">
            <v>0.48849999999999999</v>
          </cell>
          <cell r="K369">
            <v>0.48849999999999999</v>
          </cell>
          <cell r="L369">
            <v>0.48849999999999999</v>
          </cell>
          <cell r="M369">
            <v>0.48849999999999999</v>
          </cell>
        </row>
        <row r="370">
          <cell r="A370">
            <v>6.2</v>
          </cell>
          <cell r="B370">
            <v>0.66579999999999995</v>
          </cell>
          <cell r="C370">
            <v>0.66579999999999995</v>
          </cell>
          <cell r="D370">
            <v>0.63439999999999996</v>
          </cell>
          <cell r="E370">
            <v>0.63439999999999996</v>
          </cell>
          <cell r="F370">
            <v>0.63439999999999996</v>
          </cell>
          <cell r="G370">
            <v>0.56289999999999996</v>
          </cell>
          <cell r="H370">
            <v>0.56289999999999996</v>
          </cell>
          <cell r="I370">
            <v>0.48680000000000001</v>
          </cell>
          <cell r="J370">
            <v>0.48680000000000001</v>
          </cell>
          <cell r="K370">
            <v>0.48680000000000001</v>
          </cell>
          <cell r="L370">
            <v>0.48680000000000001</v>
          </cell>
          <cell r="M370">
            <v>0.48680000000000001</v>
          </cell>
        </row>
        <row r="371">
          <cell r="A371">
            <v>6.3</v>
          </cell>
          <cell r="B371">
            <v>0.66469999999999996</v>
          </cell>
          <cell r="C371">
            <v>0.66469999999999996</v>
          </cell>
          <cell r="D371">
            <v>0.63290000000000002</v>
          </cell>
          <cell r="E371">
            <v>0.63290000000000002</v>
          </cell>
          <cell r="F371">
            <v>0.63290000000000002</v>
          </cell>
          <cell r="G371">
            <v>0.56130000000000002</v>
          </cell>
          <cell r="H371">
            <v>0.56130000000000002</v>
          </cell>
          <cell r="I371">
            <v>0.48509999999999998</v>
          </cell>
          <cell r="J371">
            <v>0.48509999999999998</v>
          </cell>
          <cell r="K371">
            <v>0.48509999999999998</v>
          </cell>
          <cell r="L371">
            <v>0.48509999999999998</v>
          </cell>
          <cell r="M371">
            <v>0.48509999999999998</v>
          </cell>
        </row>
        <row r="372">
          <cell r="A372">
            <v>6.4</v>
          </cell>
          <cell r="B372">
            <v>0.66359999999999997</v>
          </cell>
          <cell r="C372">
            <v>0.66359999999999997</v>
          </cell>
          <cell r="D372">
            <v>0.63139999999999996</v>
          </cell>
          <cell r="E372">
            <v>0.63139999999999996</v>
          </cell>
          <cell r="F372">
            <v>0.63139999999999996</v>
          </cell>
          <cell r="G372">
            <v>0.55979999999999996</v>
          </cell>
          <cell r="H372">
            <v>0.55979999999999996</v>
          </cell>
          <cell r="I372">
            <v>0.48349999999999999</v>
          </cell>
          <cell r="J372">
            <v>0.48349999999999999</v>
          </cell>
          <cell r="K372">
            <v>0.48349999999999999</v>
          </cell>
          <cell r="L372">
            <v>0.48349999999999999</v>
          </cell>
          <cell r="M372">
            <v>0.48349999999999999</v>
          </cell>
        </row>
        <row r="373">
          <cell r="A373">
            <v>6.5</v>
          </cell>
          <cell r="B373">
            <v>0.66249999999999998</v>
          </cell>
          <cell r="C373">
            <v>0.66249999999999998</v>
          </cell>
          <cell r="D373">
            <v>0.63</v>
          </cell>
          <cell r="E373">
            <v>0.63</v>
          </cell>
          <cell r="F373">
            <v>0.63</v>
          </cell>
          <cell r="G373">
            <v>0.55820000000000003</v>
          </cell>
          <cell r="H373">
            <v>0.55820000000000003</v>
          </cell>
          <cell r="I373">
            <v>0.4819</v>
          </cell>
          <cell r="J373">
            <v>0.4819</v>
          </cell>
          <cell r="K373">
            <v>0.4819</v>
          </cell>
          <cell r="L373">
            <v>0.4819</v>
          </cell>
          <cell r="M373">
            <v>0.4819</v>
          </cell>
        </row>
        <row r="374">
          <cell r="A374">
            <v>6.6</v>
          </cell>
          <cell r="B374">
            <v>0.66149999999999998</v>
          </cell>
          <cell r="C374">
            <v>0.66149999999999998</v>
          </cell>
          <cell r="D374">
            <v>0.62860000000000005</v>
          </cell>
          <cell r="E374">
            <v>0.62860000000000005</v>
          </cell>
          <cell r="F374">
            <v>0.62860000000000005</v>
          </cell>
          <cell r="G374">
            <v>0.55669999999999997</v>
          </cell>
          <cell r="H374">
            <v>0.55669999999999997</v>
          </cell>
          <cell r="I374">
            <v>0.4803</v>
          </cell>
          <cell r="J374">
            <v>0.4803</v>
          </cell>
          <cell r="K374">
            <v>0.4803</v>
          </cell>
          <cell r="L374">
            <v>0.4803</v>
          </cell>
          <cell r="M374">
            <v>0.4803</v>
          </cell>
        </row>
        <row r="375">
          <cell r="A375">
            <v>6.7</v>
          </cell>
          <cell r="B375">
            <v>0.66049999999999998</v>
          </cell>
          <cell r="C375">
            <v>0.66049999999999998</v>
          </cell>
          <cell r="D375">
            <v>0.62719999999999998</v>
          </cell>
          <cell r="E375">
            <v>0.62719999999999998</v>
          </cell>
          <cell r="F375">
            <v>0.62719999999999998</v>
          </cell>
          <cell r="G375">
            <v>0.55520000000000003</v>
          </cell>
          <cell r="H375">
            <v>0.55520000000000003</v>
          </cell>
          <cell r="I375">
            <v>0.47870000000000001</v>
          </cell>
          <cell r="J375">
            <v>0.47870000000000001</v>
          </cell>
          <cell r="K375">
            <v>0.47870000000000001</v>
          </cell>
          <cell r="L375">
            <v>0.47870000000000001</v>
          </cell>
          <cell r="M375">
            <v>0.47870000000000001</v>
          </cell>
        </row>
        <row r="376">
          <cell r="A376">
            <v>6.8</v>
          </cell>
          <cell r="B376">
            <v>0.65949999999999998</v>
          </cell>
          <cell r="C376">
            <v>0.65949999999999998</v>
          </cell>
          <cell r="D376">
            <v>0.62580000000000002</v>
          </cell>
          <cell r="E376">
            <v>0.62580000000000002</v>
          </cell>
          <cell r="F376">
            <v>0.62580000000000002</v>
          </cell>
          <cell r="G376">
            <v>0.55359999999999998</v>
          </cell>
          <cell r="H376">
            <v>0.55359999999999998</v>
          </cell>
          <cell r="I376">
            <v>0.47710000000000002</v>
          </cell>
          <cell r="J376">
            <v>0.47710000000000002</v>
          </cell>
          <cell r="K376">
            <v>0.47710000000000002</v>
          </cell>
          <cell r="L376">
            <v>0.47710000000000002</v>
          </cell>
          <cell r="M376">
            <v>0.47710000000000002</v>
          </cell>
        </row>
        <row r="377">
          <cell r="A377">
            <v>6.9</v>
          </cell>
          <cell r="B377">
            <v>0.65849999999999997</v>
          </cell>
          <cell r="C377">
            <v>0.65849999999999997</v>
          </cell>
          <cell r="D377">
            <v>0.62439999999999996</v>
          </cell>
          <cell r="E377">
            <v>0.62439999999999996</v>
          </cell>
          <cell r="F377">
            <v>0.62439999999999996</v>
          </cell>
          <cell r="G377">
            <v>0.55220000000000002</v>
          </cell>
          <cell r="H377">
            <v>0.55220000000000002</v>
          </cell>
          <cell r="I377">
            <v>0.47549999999999998</v>
          </cell>
          <cell r="J377">
            <v>0.47549999999999998</v>
          </cell>
          <cell r="K377">
            <v>0.47549999999999998</v>
          </cell>
          <cell r="L377">
            <v>0.47549999999999998</v>
          </cell>
          <cell r="M377">
            <v>0.47549999999999998</v>
          </cell>
        </row>
        <row r="378">
          <cell r="A378">
            <v>7</v>
          </cell>
          <cell r="B378">
            <v>0.65749999999999997</v>
          </cell>
          <cell r="C378">
            <v>0.65749999999999997</v>
          </cell>
          <cell r="D378">
            <v>0.623</v>
          </cell>
          <cell r="E378">
            <v>0.623</v>
          </cell>
          <cell r="F378">
            <v>0.623</v>
          </cell>
          <cell r="G378">
            <v>0.55069999999999997</v>
          </cell>
          <cell r="H378">
            <v>0.55069999999999997</v>
          </cell>
          <cell r="I378">
            <v>0.47389999999999999</v>
          </cell>
          <cell r="J378">
            <v>0.47389999999999999</v>
          </cell>
          <cell r="K378">
            <v>0.47389999999999999</v>
          </cell>
          <cell r="L378">
            <v>0.47389999999999999</v>
          </cell>
          <cell r="M378">
            <v>0.47389999999999999</v>
          </cell>
        </row>
        <row r="379">
          <cell r="A379">
            <v>7.1</v>
          </cell>
          <cell r="B379">
            <v>0.65649999999999997</v>
          </cell>
          <cell r="C379">
            <v>0.65649999999999997</v>
          </cell>
          <cell r="D379">
            <v>0.62160000000000004</v>
          </cell>
          <cell r="E379">
            <v>0.62160000000000004</v>
          </cell>
          <cell r="F379">
            <v>0.62160000000000004</v>
          </cell>
          <cell r="G379">
            <v>0.54930000000000001</v>
          </cell>
          <cell r="H379">
            <v>0.54930000000000001</v>
          </cell>
          <cell r="I379">
            <v>0.47239999999999999</v>
          </cell>
          <cell r="J379">
            <v>0.47239999999999999</v>
          </cell>
          <cell r="K379">
            <v>0.47239999999999999</v>
          </cell>
          <cell r="L379">
            <v>0.47239999999999999</v>
          </cell>
          <cell r="M379">
            <v>0.47239999999999999</v>
          </cell>
        </row>
        <row r="380">
          <cell r="A380">
            <v>7.2</v>
          </cell>
          <cell r="B380">
            <v>0.65549999999999997</v>
          </cell>
          <cell r="C380">
            <v>0.65549999999999997</v>
          </cell>
          <cell r="D380">
            <v>0.62019999999999997</v>
          </cell>
          <cell r="E380">
            <v>0.62019999999999997</v>
          </cell>
          <cell r="F380">
            <v>0.62019999999999997</v>
          </cell>
          <cell r="G380">
            <v>0.54779999999999995</v>
          </cell>
          <cell r="H380">
            <v>0.54779999999999995</v>
          </cell>
          <cell r="I380">
            <v>0.47089999999999999</v>
          </cell>
          <cell r="J380">
            <v>0.47089999999999999</v>
          </cell>
          <cell r="K380">
            <v>0.47089999999999999</v>
          </cell>
          <cell r="L380">
            <v>0.47089999999999999</v>
          </cell>
          <cell r="M380">
            <v>0.47089999999999999</v>
          </cell>
        </row>
        <row r="381">
          <cell r="A381">
            <v>7.3</v>
          </cell>
          <cell r="B381">
            <v>0.65449999999999997</v>
          </cell>
          <cell r="C381">
            <v>0.65449999999999997</v>
          </cell>
          <cell r="D381">
            <v>0.61880000000000002</v>
          </cell>
          <cell r="E381">
            <v>0.61880000000000002</v>
          </cell>
          <cell r="F381">
            <v>0.61880000000000002</v>
          </cell>
          <cell r="G381">
            <v>0.5464</v>
          </cell>
          <cell r="H381">
            <v>0.5464</v>
          </cell>
          <cell r="I381">
            <v>0.46939999999999998</v>
          </cell>
          <cell r="J381">
            <v>0.46939999999999998</v>
          </cell>
          <cell r="K381">
            <v>0.46939999999999998</v>
          </cell>
          <cell r="L381">
            <v>0.46939999999999998</v>
          </cell>
          <cell r="M381">
            <v>0.46939999999999998</v>
          </cell>
        </row>
        <row r="382">
          <cell r="A382">
            <v>7.4</v>
          </cell>
          <cell r="B382">
            <v>0.65349999999999997</v>
          </cell>
          <cell r="C382">
            <v>0.65349999999999997</v>
          </cell>
          <cell r="D382">
            <v>0.61750000000000005</v>
          </cell>
          <cell r="E382">
            <v>0.61750000000000005</v>
          </cell>
          <cell r="F382">
            <v>0.61750000000000005</v>
          </cell>
          <cell r="G382">
            <v>0.54490000000000005</v>
          </cell>
          <cell r="H382">
            <v>0.54490000000000005</v>
          </cell>
          <cell r="I382">
            <v>0.46779999999999999</v>
          </cell>
          <cell r="J382">
            <v>0.46779999999999999</v>
          </cell>
          <cell r="K382">
            <v>0.46779999999999999</v>
          </cell>
          <cell r="L382">
            <v>0.46779999999999999</v>
          </cell>
          <cell r="M382">
            <v>0.46779999999999999</v>
          </cell>
        </row>
        <row r="383">
          <cell r="A383">
            <v>7.5</v>
          </cell>
          <cell r="B383">
            <v>0.65249999999999997</v>
          </cell>
          <cell r="C383">
            <v>0.65249999999999997</v>
          </cell>
          <cell r="D383">
            <v>0.61619999999999997</v>
          </cell>
          <cell r="E383">
            <v>0.61619999999999997</v>
          </cell>
          <cell r="F383">
            <v>0.61619999999999997</v>
          </cell>
          <cell r="G383">
            <v>0.54349999999999998</v>
          </cell>
          <cell r="H383">
            <v>0.54349999999999998</v>
          </cell>
          <cell r="I383">
            <v>0.46629999999999999</v>
          </cell>
          <cell r="J383">
            <v>0.46629999999999999</v>
          </cell>
          <cell r="K383">
            <v>0.46629999999999999</v>
          </cell>
          <cell r="L383">
            <v>0.46629999999999999</v>
          </cell>
          <cell r="M383">
            <v>0.46629999999999999</v>
          </cell>
        </row>
        <row r="384">
          <cell r="A384">
            <v>7.6</v>
          </cell>
          <cell r="B384">
            <v>0.65149999999999997</v>
          </cell>
          <cell r="C384">
            <v>0.65149999999999997</v>
          </cell>
          <cell r="D384">
            <v>0.6149</v>
          </cell>
          <cell r="E384">
            <v>0.6149</v>
          </cell>
          <cell r="F384">
            <v>0.6149</v>
          </cell>
          <cell r="G384">
            <v>0.54200000000000004</v>
          </cell>
          <cell r="H384">
            <v>0.54200000000000004</v>
          </cell>
          <cell r="I384">
            <v>0.46479999999999999</v>
          </cell>
          <cell r="J384">
            <v>0.46479999999999999</v>
          </cell>
          <cell r="K384">
            <v>0.46479999999999999</v>
          </cell>
          <cell r="L384">
            <v>0.46479999999999999</v>
          </cell>
          <cell r="M384">
            <v>0.46479999999999999</v>
          </cell>
        </row>
        <row r="385">
          <cell r="A385">
            <v>7.7</v>
          </cell>
          <cell r="B385">
            <v>0.65049999999999997</v>
          </cell>
          <cell r="C385">
            <v>0.65049999999999997</v>
          </cell>
          <cell r="D385">
            <v>0.61360000000000003</v>
          </cell>
          <cell r="E385">
            <v>0.61360000000000003</v>
          </cell>
          <cell r="F385">
            <v>0.61360000000000003</v>
          </cell>
          <cell r="G385">
            <v>0.54059999999999997</v>
          </cell>
          <cell r="H385">
            <v>0.54059999999999997</v>
          </cell>
          <cell r="I385">
            <v>0.46329999999999999</v>
          </cell>
          <cell r="J385">
            <v>0.46329999999999999</v>
          </cell>
          <cell r="K385">
            <v>0.46329999999999999</v>
          </cell>
          <cell r="L385">
            <v>0.46329999999999999</v>
          </cell>
          <cell r="M385">
            <v>0.46329999999999999</v>
          </cell>
        </row>
        <row r="386">
          <cell r="A386">
            <v>7.8</v>
          </cell>
          <cell r="B386">
            <v>0.64949999999999997</v>
          </cell>
          <cell r="C386">
            <v>0.64949999999999997</v>
          </cell>
          <cell r="D386">
            <v>0.61229999999999996</v>
          </cell>
          <cell r="E386">
            <v>0.61229999999999996</v>
          </cell>
          <cell r="F386">
            <v>0.61229999999999996</v>
          </cell>
          <cell r="G386">
            <v>0.53910000000000002</v>
          </cell>
          <cell r="H386">
            <v>0.53910000000000002</v>
          </cell>
          <cell r="I386">
            <v>0.4617</v>
          </cell>
          <cell r="J386">
            <v>0.4617</v>
          </cell>
          <cell r="K386">
            <v>0.4617</v>
          </cell>
          <cell r="L386">
            <v>0.4617</v>
          </cell>
          <cell r="M386">
            <v>0.4617</v>
          </cell>
        </row>
        <row r="387">
          <cell r="A387">
            <v>7.9</v>
          </cell>
          <cell r="B387">
            <v>0.64849999999999997</v>
          </cell>
          <cell r="C387">
            <v>0.64849999999999997</v>
          </cell>
          <cell r="D387">
            <v>0.61099999999999999</v>
          </cell>
          <cell r="E387">
            <v>0.61099999999999999</v>
          </cell>
          <cell r="F387">
            <v>0.61099999999999999</v>
          </cell>
          <cell r="G387">
            <v>0.53769999999999996</v>
          </cell>
          <cell r="H387">
            <v>0.53769999999999996</v>
          </cell>
          <cell r="I387">
            <v>0.4602</v>
          </cell>
          <cell r="J387">
            <v>0.4602</v>
          </cell>
          <cell r="K387">
            <v>0.4602</v>
          </cell>
          <cell r="L387">
            <v>0.4602</v>
          </cell>
          <cell r="M387">
            <v>0.4602</v>
          </cell>
        </row>
        <row r="388">
          <cell r="A388">
            <v>8</v>
          </cell>
          <cell r="B388">
            <v>0.64749999999999996</v>
          </cell>
          <cell r="C388">
            <v>0.64749999999999996</v>
          </cell>
          <cell r="D388">
            <v>0.60970000000000002</v>
          </cell>
          <cell r="E388">
            <v>0.60970000000000002</v>
          </cell>
          <cell r="F388">
            <v>0.60970000000000002</v>
          </cell>
          <cell r="G388">
            <v>0.53620000000000001</v>
          </cell>
          <cell r="H388">
            <v>0.53620000000000001</v>
          </cell>
          <cell r="I388">
            <v>0.4587</v>
          </cell>
          <cell r="J388">
            <v>0.4587</v>
          </cell>
          <cell r="K388">
            <v>0.4587</v>
          </cell>
          <cell r="L388">
            <v>0.4587</v>
          </cell>
          <cell r="M388">
            <v>0.4587</v>
          </cell>
        </row>
        <row r="389">
          <cell r="A389">
            <v>8.1</v>
          </cell>
          <cell r="B389">
            <v>0.64649999999999996</v>
          </cell>
          <cell r="C389">
            <v>0.64649999999999996</v>
          </cell>
          <cell r="D389">
            <v>0.60840000000000005</v>
          </cell>
          <cell r="E389">
            <v>0.60840000000000005</v>
          </cell>
          <cell r="F389">
            <v>0.60840000000000005</v>
          </cell>
          <cell r="G389">
            <v>0.53480000000000005</v>
          </cell>
          <cell r="H389">
            <v>0.53480000000000005</v>
          </cell>
          <cell r="I389">
            <v>0.4572</v>
          </cell>
          <cell r="J389">
            <v>0.4572</v>
          </cell>
          <cell r="K389">
            <v>0.4572</v>
          </cell>
          <cell r="L389">
            <v>0.4572</v>
          </cell>
          <cell r="M389">
            <v>0.4572</v>
          </cell>
        </row>
        <row r="390">
          <cell r="A390">
            <v>8.1999999999999993</v>
          </cell>
          <cell r="B390">
            <v>0.64549999999999996</v>
          </cell>
          <cell r="C390">
            <v>0.64549999999999996</v>
          </cell>
          <cell r="D390">
            <v>0.60709999999999997</v>
          </cell>
          <cell r="E390">
            <v>0.60709999999999997</v>
          </cell>
          <cell r="F390">
            <v>0.60709999999999997</v>
          </cell>
          <cell r="G390">
            <v>0.5333</v>
          </cell>
          <cell r="H390">
            <v>0.5333</v>
          </cell>
          <cell r="I390">
            <v>0.45569999999999999</v>
          </cell>
          <cell r="J390">
            <v>0.45569999999999999</v>
          </cell>
          <cell r="K390">
            <v>0.45569999999999999</v>
          </cell>
          <cell r="L390">
            <v>0.45569999999999999</v>
          </cell>
          <cell r="M390">
            <v>0.45569999999999999</v>
          </cell>
        </row>
        <row r="391">
          <cell r="A391">
            <v>8.3000000000000007</v>
          </cell>
          <cell r="B391">
            <v>0.64449999999999996</v>
          </cell>
          <cell r="C391">
            <v>0.64449999999999996</v>
          </cell>
          <cell r="D391">
            <v>0.60580000000000001</v>
          </cell>
          <cell r="E391">
            <v>0.60580000000000001</v>
          </cell>
          <cell r="F391">
            <v>0.60580000000000001</v>
          </cell>
          <cell r="G391">
            <v>0.53190000000000004</v>
          </cell>
          <cell r="H391">
            <v>0.53190000000000004</v>
          </cell>
          <cell r="I391">
            <v>0.45429999999999998</v>
          </cell>
          <cell r="J391">
            <v>0.45429999999999998</v>
          </cell>
          <cell r="K391">
            <v>0.45429999999999998</v>
          </cell>
          <cell r="L391">
            <v>0.45429999999999998</v>
          </cell>
          <cell r="M391">
            <v>0.45429999999999998</v>
          </cell>
        </row>
        <row r="392">
          <cell r="A392">
            <v>8.4</v>
          </cell>
          <cell r="B392">
            <v>0.64349999999999996</v>
          </cell>
          <cell r="C392">
            <v>0.64349999999999996</v>
          </cell>
          <cell r="D392">
            <v>0.60450000000000004</v>
          </cell>
          <cell r="E392">
            <v>0.60450000000000004</v>
          </cell>
          <cell r="F392">
            <v>0.60450000000000004</v>
          </cell>
          <cell r="G392">
            <v>0.53039999999999998</v>
          </cell>
          <cell r="H392">
            <v>0.53039999999999998</v>
          </cell>
          <cell r="I392">
            <v>0.45290000000000002</v>
          </cell>
          <cell r="J392">
            <v>0.45290000000000002</v>
          </cell>
          <cell r="K392">
            <v>0.45290000000000002</v>
          </cell>
          <cell r="L392">
            <v>0.45290000000000002</v>
          </cell>
          <cell r="M392">
            <v>0.45290000000000002</v>
          </cell>
        </row>
        <row r="393">
          <cell r="A393">
            <v>8.5</v>
          </cell>
          <cell r="B393">
            <v>0.64249999999999996</v>
          </cell>
          <cell r="C393">
            <v>0.64249999999999996</v>
          </cell>
          <cell r="D393">
            <v>0.60319999999999996</v>
          </cell>
          <cell r="E393">
            <v>0.60319999999999996</v>
          </cell>
          <cell r="F393">
            <v>0.60319999999999996</v>
          </cell>
          <cell r="G393">
            <v>0.52900000000000003</v>
          </cell>
          <cell r="H393">
            <v>0.52900000000000003</v>
          </cell>
          <cell r="I393">
            <v>0.45140000000000002</v>
          </cell>
          <cell r="J393">
            <v>0.45140000000000002</v>
          </cell>
          <cell r="K393">
            <v>0.45140000000000002</v>
          </cell>
          <cell r="L393">
            <v>0.45140000000000002</v>
          </cell>
          <cell r="M393">
            <v>0.45140000000000002</v>
          </cell>
        </row>
        <row r="394">
          <cell r="A394">
            <v>8.6</v>
          </cell>
          <cell r="B394">
            <v>0.64149999999999996</v>
          </cell>
          <cell r="C394">
            <v>0.64149999999999996</v>
          </cell>
          <cell r="D394">
            <v>0.60189999999999999</v>
          </cell>
          <cell r="E394">
            <v>0.60189999999999999</v>
          </cell>
          <cell r="F394">
            <v>0.60189999999999999</v>
          </cell>
          <cell r="G394">
            <v>0.52749999999999997</v>
          </cell>
          <cell r="H394">
            <v>0.52749999999999997</v>
          </cell>
          <cell r="I394">
            <v>0.45</v>
          </cell>
          <cell r="J394">
            <v>0.45</v>
          </cell>
          <cell r="K394">
            <v>0.45</v>
          </cell>
          <cell r="L394">
            <v>0.45</v>
          </cell>
          <cell r="M394">
            <v>0.45</v>
          </cell>
        </row>
        <row r="395">
          <cell r="A395">
            <v>8.6999999999999993</v>
          </cell>
          <cell r="B395">
            <v>0.64049999999999996</v>
          </cell>
          <cell r="C395">
            <v>0.64049999999999996</v>
          </cell>
          <cell r="D395">
            <v>0.60060000000000002</v>
          </cell>
          <cell r="E395">
            <v>0.60060000000000002</v>
          </cell>
          <cell r="F395">
            <v>0.60060000000000002</v>
          </cell>
          <cell r="G395">
            <v>0.52610000000000001</v>
          </cell>
          <cell r="H395">
            <v>0.52610000000000001</v>
          </cell>
          <cell r="I395">
            <v>0.44850000000000001</v>
          </cell>
          <cell r="J395">
            <v>0.44850000000000001</v>
          </cell>
          <cell r="K395">
            <v>0.44850000000000001</v>
          </cell>
          <cell r="L395">
            <v>0.44850000000000001</v>
          </cell>
          <cell r="M395">
            <v>0.44850000000000001</v>
          </cell>
        </row>
        <row r="396">
          <cell r="A396">
            <v>8.8000000000000007</v>
          </cell>
          <cell r="B396">
            <v>0.63949999999999996</v>
          </cell>
          <cell r="C396">
            <v>0.63949999999999996</v>
          </cell>
          <cell r="D396">
            <v>0.59930000000000005</v>
          </cell>
          <cell r="E396">
            <v>0.59930000000000005</v>
          </cell>
          <cell r="F396">
            <v>0.59930000000000005</v>
          </cell>
          <cell r="G396">
            <v>0.52459999999999996</v>
          </cell>
          <cell r="H396">
            <v>0.52459999999999996</v>
          </cell>
          <cell r="I396">
            <v>0.4471</v>
          </cell>
          <cell r="J396">
            <v>0.4471</v>
          </cell>
          <cell r="K396">
            <v>0.4471</v>
          </cell>
          <cell r="L396">
            <v>0.4471</v>
          </cell>
          <cell r="M396">
            <v>0.4471</v>
          </cell>
        </row>
        <row r="397">
          <cell r="A397">
            <v>8.9</v>
          </cell>
          <cell r="B397">
            <v>0.63849999999999996</v>
          </cell>
          <cell r="C397">
            <v>0.63849999999999996</v>
          </cell>
          <cell r="D397">
            <v>0.59799999999999998</v>
          </cell>
          <cell r="E397">
            <v>0.59799999999999998</v>
          </cell>
          <cell r="F397">
            <v>0.59799999999999998</v>
          </cell>
          <cell r="G397">
            <v>0.5232</v>
          </cell>
          <cell r="H397">
            <v>0.5232</v>
          </cell>
          <cell r="I397">
            <v>0.4456</v>
          </cell>
          <cell r="J397">
            <v>0.4456</v>
          </cell>
          <cell r="K397">
            <v>0.4456</v>
          </cell>
          <cell r="L397">
            <v>0.4456</v>
          </cell>
          <cell r="M397">
            <v>0.4456</v>
          </cell>
        </row>
        <row r="398">
          <cell r="A398">
            <v>9</v>
          </cell>
          <cell r="B398">
            <v>0.63749999999999996</v>
          </cell>
          <cell r="C398">
            <v>0.63749999999999996</v>
          </cell>
          <cell r="D398">
            <v>0.59670000000000001</v>
          </cell>
          <cell r="E398">
            <v>0.59670000000000001</v>
          </cell>
          <cell r="F398">
            <v>0.59670000000000001</v>
          </cell>
          <cell r="G398">
            <v>0.52170000000000005</v>
          </cell>
          <cell r="H398">
            <v>0.52170000000000005</v>
          </cell>
          <cell r="I398">
            <v>0.44429999999999997</v>
          </cell>
          <cell r="J398">
            <v>0.44429999999999997</v>
          </cell>
          <cell r="K398">
            <v>0.44429999999999997</v>
          </cell>
          <cell r="L398">
            <v>0.44429999999999997</v>
          </cell>
          <cell r="M398">
            <v>0.44429999999999997</v>
          </cell>
        </row>
        <row r="399">
          <cell r="A399">
            <v>9.1</v>
          </cell>
          <cell r="B399">
            <v>0.63649999999999995</v>
          </cell>
          <cell r="C399">
            <v>0.63649999999999995</v>
          </cell>
          <cell r="D399">
            <v>0.59540000000000004</v>
          </cell>
          <cell r="E399">
            <v>0.59540000000000004</v>
          </cell>
          <cell r="F399">
            <v>0.59540000000000004</v>
          </cell>
          <cell r="G399">
            <v>0.52029999999999998</v>
          </cell>
          <cell r="H399">
            <v>0.52029999999999998</v>
          </cell>
          <cell r="I399">
            <v>0.44290000000000002</v>
          </cell>
          <cell r="J399">
            <v>0.44290000000000002</v>
          </cell>
          <cell r="K399">
            <v>0.44290000000000002</v>
          </cell>
          <cell r="L399">
            <v>0.44290000000000002</v>
          </cell>
          <cell r="M399">
            <v>0.44290000000000002</v>
          </cell>
        </row>
        <row r="400">
          <cell r="A400">
            <v>9.1999999999999993</v>
          </cell>
          <cell r="B400">
            <v>0.63549999999999995</v>
          </cell>
          <cell r="C400">
            <v>0.63549999999999995</v>
          </cell>
          <cell r="D400">
            <v>0.59409999999999996</v>
          </cell>
          <cell r="E400">
            <v>0.59409999999999996</v>
          </cell>
          <cell r="F400">
            <v>0.59409999999999996</v>
          </cell>
          <cell r="G400">
            <v>0.51880000000000004</v>
          </cell>
          <cell r="H400">
            <v>0.51880000000000004</v>
          </cell>
          <cell r="I400">
            <v>0.44159999999999999</v>
          </cell>
          <cell r="J400">
            <v>0.44159999999999999</v>
          </cell>
          <cell r="K400">
            <v>0.44159999999999999</v>
          </cell>
          <cell r="L400">
            <v>0.44159999999999999</v>
          </cell>
          <cell r="M400">
            <v>0.44159999999999999</v>
          </cell>
        </row>
        <row r="401">
          <cell r="A401">
            <v>9.3000000000000007</v>
          </cell>
          <cell r="B401">
            <v>0.63449999999999995</v>
          </cell>
          <cell r="C401">
            <v>0.63449999999999995</v>
          </cell>
          <cell r="D401">
            <v>0.59279999999999999</v>
          </cell>
          <cell r="E401">
            <v>0.59279999999999999</v>
          </cell>
          <cell r="F401">
            <v>0.59279999999999999</v>
          </cell>
          <cell r="G401">
            <v>0.51739999999999997</v>
          </cell>
          <cell r="H401">
            <v>0.51739999999999997</v>
          </cell>
          <cell r="I401">
            <v>0.44019999999999998</v>
          </cell>
          <cell r="J401">
            <v>0.44019999999999998</v>
          </cell>
          <cell r="K401">
            <v>0.44019999999999998</v>
          </cell>
          <cell r="L401">
            <v>0.44019999999999998</v>
          </cell>
          <cell r="M401">
            <v>0.44019999999999998</v>
          </cell>
        </row>
        <row r="402">
          <cell r="A402">
            <v>9.4</v>
          </cell>
          <cell r="B402">
            <v>0.63349999999999995</v>
          </cell>
          <cell r="C402">
            <v>0.63349999999999995</v>
          </cell>
          <cell r="D402">
            <v>0.59150000000000003</v>
          </cell>
          <cell r="E402">
            <v>0.59150000000000003</v>
          </cell>
          <cell r="F402">
            <v>0.59150000000000003</v>
          </cell>
          <cell r="G402">
            <v>0.51600000000000001</v>
          </cell>
          <cell r="H402">
            <v>0.51600000000000001</v>
          </cell>
          <cell r="I402">
            <v>0.43880000000000002</v>
          </cell>
          <cell r="J402">
            <v>0.43880000000000002</v>
          </cell>
          <cell r="K402">
            <v>0.43880000000000002</v>
          </cell>
          <cell r="L402">
            <v>0.43880000000000002</v>
          </cell>
          <cell r="M402">
            <v>0.43880000000000002</v>
          </cell>
        </row>
        <row r="403">
          <cell r="A403">
            <v>9.5</v>
          </cell>
          <cell r="B403">
            <v>0.63249999999999995</v>
          </cell>
          <cell r="C403">
            <v>0.63249999999999995</v>
          </cell>
          <cell r="D403">
            <v>0.59030000000000005</v>
          </cell>
          <cell r="E403">
            <v>0.59030000000000005</v>
          </cell>
          <cell r="F403">
            <v>0.59030000000000005</v>
          </cell>
          <cell r="G403">
            <v>0.51470000000000005</v>
          </cell>
          <cell r="H403">
            <v>0.51470000000000005</v>
          </cell>
          <cell r="I403">
            <v>0.4375</v>
          </cell>
          <cell r="J403">
            <v>0.4375</v>
          </cell>
          <cell r="K403">
            <v>0.4375</v>
          </cell>
          <cell r="L403">
            <v>0.4375</v>
          </cell>
          <cell r="M403">
            <v>0.4375</v>
          </cell>
        </row>
        <row r="404">
          <cell r="A404">
            <v>9.6</v>
          </cell>
          <cell r="B404">
            <v>0.63149999999999995</v>
          </cell>
          <cell r="C404">
            <v>0.63149999999999995</v>
          </cell>
          <cell r="D404">
            <v>0.58909999999999996</v>
          </cell>
          <cell r="E404">
            <v>0.58909999999999996</v>
          </cell>
          <cell r="F404">
            <v>0.58909999999999996</v>
          </cell>
          <cell r="G404">
            <v>0.51329999999999998</v>
          </cell>
          <cell r="H404">
            <v>0.51329999999999998</v>
          </cell>
          <cell r="I404">
            <v>0.43609999999999999</v>
          </cell>
          <cell r="J404">
            <v>0.43609999999999999</v>
          </cell>
          <cell r="K404">
            <v>0.43609999999999999</v>
          </cell>
          <cell r="L404">
            <v>0.43609999999999999</v>
          </cell>
          <cell r="M404">
            <v>0.43609999999999999</v>
          </cell>
        </row>
        <row r="405">
          <cell r="A405">
            <v>9.6999999999999993</v>
          </cell>
          <cell r="B405">
            <v>0.63049999999999995</v>
          </cell>
          <cell r="C405">
            <v>0.63049999999999995</v>
          </cell>
          <cell r="D405">
            <v>0.58789999999999998</v>
          </cell>
          <cell r="E405">
            <v>0.58789999999999998</v>
          </cell>
          <cell r="F405">
            <v>0.58789999999999998</v>
          </cell>
          <cell r="G405">
            <v>0.51200000000000001</v>
          </cell>
          <cell r="H405">
            <v>0.51200000000000001</v>
          </cell>
          <cell r="I405">
            <v>0.43480000000000002</v>
          </cell>
          <cell r="J405">
            <v>0.43480000000000002</v>
          </cell>
          <cell r="K405">
            <v>0.43480000000000002</v>
          </cell>
          <cell r="L405">
            <v>0.43480000000000002</v>
          </cell>
          <cell r="M405">
            <v>0.43480000000000002</v>
          </cell>
        </row>
        <row r="406">
          <cell r="A406">
            <v>9.8000000000000007</v>
          </cell>
          <cell r="B406">
            <v>0.62949999999999995</v>
          </cell>
          <cell r="C406">
            <v>0.62949999999999995</v>
          </cell>
          <cell r="D406">
            <v>0.5867</v>
          </cell>
          <cell r="E406">
            <v>0.5867</v>
          </cell>
          <cell r="F406">
            <v>0.5867</v>
          </cell>
          <cell r="G406">
            <v>0.51060000000000005</v>
          </cell>
          <cell r="H406">
            <v>0.51060000000000005</v>
          </cell>
          <cell r="I406">
            <v>0.43340000000000001</v>
          </cell>
          <cell r="J406">
            <v>0.43340000000000001</v>
          </cell>
          <cell r="K406">
            <v>0.43340000000000001</v>
          </cell>
          <cell r="L406">
            <v>0.43340000000000001</v>
          </cell>
          <cell r="M406">
            <v>0.43340000000000001</v>
          </cell>
        </row>
        <row r="407">
          <cell r="A407">
            <v>9.9</v>
          </cell>
          <cell r="B407">
            <v>0.62849999999999995</v>
          </cell>
          <cell r="C407">
            <v>0.62849999999999995</v>
          </cell>
          <cell r="D407">
            <v>0.58550000000000002</v>
          </cell>
          <cell r="E407">
            <v>0.58550000000000002</v>
          </cell>
          <cell r="F407">
            <v>0.58550000000000002</v>
          </cell>
          <cell r="G407">
            <v>0.50919999999999999</v>
          </cell>
          <cell r="H407">
            <v>0.50919999999999999</v>
          </cell>
          <cell r="I407">
            <v>0.432</v>
          </cell>
          <cell r="J407">
            <v>0.432</v>
          </cell>
          <cell r="K407">
            <v>0.432</v>
          </cell>
          <cell r="L407">
            <v>0.432</v>
          </cell>
          <cell r="M407">
            <v>0.432</v>
          </cell>
        </row>
        <row r="408">
          <cell r="A408">
            <v>10</v>
          </cell>
          <cell r="B408">
            <v>0.62749999999999995</v>
          </cell>
          <cell r="C408">
            <v>0.62749999999999995</v>
          </cell>
          <cell r="D408">
            <v>0.58430000000000004</v>
          </cell>
          <cell r="E408">
            <v>0.58430000000000004</v>
          </cell>
          <cell r="F408">
            <v>0.58430000000000004</v>
          </cell>
          <cell r="G408">
            <v>0.50790000000000002</v>
          </cell>
          <cell r="H408">
            <v>0.50790000000000002</v>
          </cell>
          <cell r="I408">
            <v>0.43070000000000003</v>
          </cell>
          <cell r="J408">
            <v>0.43070000000000003</v>
          </cell>
          <cell r="K408">
            <v>0.43070000000000003</v>
          </cell>
          <cell r="L408">
            <v>0.43070000000000003</v>
          </cell>
          <cell r="M408">
            <v>0.43070000000000003</v>
          </cell>
        </row>
      </sheetData>
      <sheetData sheetId="36">
        <row r="2">
          <cell r="B2" t="str">
            <v>综合</v>
          </cell>
          <cell r="C2" t="str">
            <v>商业</v>
          </cell>
          <cell r="D2" t="str">
            <v>办公</v>
          </cell>
          <cell r="E2" t="str">
            <v>住宅</v>
          </cell>
          <cell r="F2" t="str">
            <v>工业</v>
          </cell>
          <cell r="X2" t="str">
            <v>综合</v>
          </cell>
          <cell r="Y2" t="str">
            <v>商业</v>
          </cell>
          <cell r="Z2" t="str">
            <v>办公</v>
          </cell>
          <cell r="AA2" t="str">
            <v>住宅</v>
          </cell>
          <cell r="AB2" t="str">
            <v>工业</v>
          </cell>
          <cell r="AD2" t="str">
            <v>综合</v>
          </cell>
          <cell r="AE2" t="str">
            <v>商业</v>
          </cell>
          <cell r="AF2" t="str">
            <v>办公</v>
          </cell>
          <cell r="AG2" t="str">
            <v>住宅</v>
          </cell>
          <cell r="AH2" t="str">
            <v>工业</v>
          </cell>
        </row>
        <row r="3">
          <cell r="X3">
            <v>1.3494999999999999</v>
          </cell>
          <cell r="Y3">
            <v>1.2154</v>
          </cell>
          <cell r="Z3">
            <v>1.2154</v>
          </cell>
          <cell r="AA3">
            <v>1.3962000000000001</v>
          </cell>
          <cell r="AB3">
            <v>1.1890000000000001</v>
          </cell>
          <cell r="AD3">
            <v>2.3900000000000001E-2</v>
          </cell>
          <cell r="AE3">
            <v>1.5699999999999999E-2</v>
          </cell>
          <cell r="AF3">
            <v>1.5699999999999999E-2</v>
          </cell>
          <cell r="AG3">
            <v>2.6599999999999999E-2</v>
          </cell>
          <cell r="AH3">
            <v>1.34E-2</v>
          </cell>
        </row>
        <row r="4">
          <cell r="A4" t="str">
            <v>2017-4</v>
          </cell>
          <cell r="X4">
            <v>1.3494999999999999</v>
          </cell>
          <cell r="Y4">
            <v>1.2154</v>
          </cell>
          <cell r="Z4">
            <v>1.2154</v>
          </cell>
          <cell r="AA4">
            <v>1.3962000000000001</v>
          </cell>
          <cell r="AB4">
            <v>1.1890000000000001</v>
          </cell>
          <cell r="AD4">
            <v>2.3900000000000001E-2</v>
          </cell>
          <cell r="AE4">
            <v>1.5699999999999999E-2</v>
          </cell>
          <cell r="AF4">
            <v>1.5699999999999999E-2</v>
          </cell>
          <cell r="AG4">
            <v>2.6599999999999999E-2</v>
          </cell>
          <cell r="AH4">
            <v>1.34E-2</v>
          </cell>
        </row>
        <row r="5">
          <cell r="A5" t="str">
            <v>2017-3</v>
          </cell>
          <cell r="X5">
            <v>1.3494999999999999</v>
          </cell>
          <cell r="Y5">
            <v>1.2154</v>
          </cell>
          <cell r="Z5">
            <v>1.2154</v>
          </cell>
          <cell r="AA5">
            <v>1.3962000000000001</v>
          </cell>
          <cell r="AB5">
            <v>1.1890000000000001</v>
          </cell>
          <cell r="AD5">
            <v>2.3900000000000001E-2</v>
          </cell>
          <cell r="AE5">
            <v>1.5699999999999999E-2</v>
          </cell>
          <cell r="AF5">
            <v>1.5699999999999999E-2</v>
          </cell>
          <cell r="AG5">
            <v>2.6599999999999999E-2</v>
          </cell>
          <cell r="AH5">
            <v>1.34E-2</v>
          </cell>
        </row>
        <row r="6">
          <cell r="A6" t="str">
            <v>2017-2</v>
          </cell>
          <cell r="B6">
            <v>415.21602360000003</v>
          </cell>
          <cell r="C6">
            <v>312.63083488000001</v>
          </cell>
          <cell r="D6">
            <v>312.63083488000001</v>
          </cell>
          <cell r="E6">
            <v>589.96402416000001</v>
          </cell>
          <cell r="F6">
            <v>273.82351752000005</v>
          </cell>
          <cell r="X6">
            <v>1.3494999999999999</v>
          </cell>
          <cell r="Y6">
            <v>1.2154</v>
          </cell>
          <cell r="Z6">
            <v>1.2154</v>
          </cell>
          <cell r="AA6">
            <v>1.3962000000000001</v>
          </cell>
          <cell r="AB6">
            <v>1.1890000000000001</v>
          </cell>
          <cell r="AD6">
            <v>2.3900000000000001E-2</v>
          </cell>
          <cell r="AE6">
            <v>1.5699999999999999E-2</v>
          </cell>
          <cell r="AF6">
            <v>1.5699999999999999E-2</v>
          </cell>
          <cell r="AG6">
            <v>2.6599999999999999E-2</v>
          </cell>
          <cell r="AH6">
            <v>1.34E-2</v>
          </cell>
        </row>
        <row r="7">
          <cell r="A7" t="str">
            <v>2017-1</v>
          </cell>
          <cell r="B7">
            <v>405.524</v>
          </cell>
          <cell r="C7">
            <v>307.79840000000002</v>
          </cell>
          <cell r="D7">
            <v>307.79840000000002</v>
          </cell>
          <cell r="E7">
            <v>574.67759999999998</v>
          </cell>
          <cell r="F7">
            <v>270.20280000000002</v>
          </cell>
          <cell r="X7">
            <v>1.3180000000000001</v>
          </cell>
          <cell r="Y7">
            <v>1.1966000000000001</v>
          </cell>
          <cell r="Z7">
            <v>1.1966000000000001</v>
          </cell>
          <cell r="AA7">
            <v>1.36</v>
          </cell>
          <cell r="AB7">
            <v>1.1733</v>
          </cell>
          <cell r="AD7">
            <v>2.3900000000000001E-2</v>
          </cell>
          <cell r="AE7">
            <v>1.5699999999999999E-2</v>
          </cell>
          <cell r="AF7">
            <v>1.5699999999999999E-2</v>
          </cell>
          <cell r="AG7">
            <v>2.6599999999999999E-2</v>
          </cell>
          <cell r="AH7">
            <v>1.34E-2</v>
          </cell>
        </row>
        <row r="8">
          <cell r="A8" t="str">
            <v>2016-4</v>
          </cell>
          <cell r="B8">
            <v>392</v>
          </cell>
          <cell r="C8">
            <v>302</v>
          </cell>
          <cell r="D8">
            <v>302</v>
          </cell>
          <cell r="E8">
            <v>553</v>
          </cell>
          <cell r="F8">
            <v>266</v>
          </cell>
          <cell r="X8">
            <v>1.274</v>
          </cell>
          <cell r="Y8">
            <v>1.1740999999999999</v>
          </cell>
          <cell r="Z8">
            <v>1.1740999999999999</v>
          </cell>
          <cell r="AA8">
            <v>1.3087</v>
          </cell>
          <cell r="AB8">
            <v>1.1551</v>
          </cell>
          <cell r="AD8">
            <v>2.3E-2</v>
          </cell>
          <cell r="AE8">
            <v>1.55E-2</v>
          </cell>
          <cell r="AF8">
            <v>1.55E-2</v>
          </cell>
          <cell r="AG8">
            <v>2.5600000000000001E-2</v>
          </cell>
          <cell r="AH8">
            <v>1.32E-2</v>
          </cell>
        </row>
        <row r="9">
          <cell r="A9" t="str">
            <v>2016-3</v>
          </cell>
          <cell r="B9">
            <v>374.90436113236416</v>
          </cell>
          <cell r="C9">
            <v>295.64366128242779</v>
          </cell>
          <cell r="D9">
            <v>295.64366128242779</v>
          </cell>
          <cell r="E9">
            <v>525.06646410938095</v>
          </cell>
          <cell r="F9">
            <v>261.88835286009646</v>
          </cell>
          <cell r="X9">
            <v>1.2184999999999999</v>
          </cell>
          <cell r="Y9">
            <v>1.1494</v>
          </cell>
          <cell r="Z9">
            <v>1.1494</v>
          </cell>
          <cell r="AA9">
            <v>1.2425999999999999</v>
          </cell>
          <cell r="AB9">
            <v>1.1372</v>
          </cell>
          <cell r="AD9">
            <v>2.0899999999999998E-2</v>
          </cell>
          <cell r="AE9">
            <v>1.49E-2</v>
          </cell>
          <cell r="AF9">
            <v>1.49E-2</v>
          </cell>
          <cell r="AG9">
            <v>2.3099999999999999E-2</v>
          </cell>
          <cell r="AH9">
            <v>1.2999999999999999E-2</v>
          </cell>
        </row>
        <row r="10">
          <cell r="A10" t="str">
            <v>2016-2</v>
          </cell>
          <cell r="B10">
            <v>360.06949782209392</v>
          </cell>
          <cell r="C10">
            <v>289.84672674747821</v>
          </cell>
          <cell r="D10">
            <v>289.84672674747821</v>
          </cell>
          <cell r="E10">
            <v>501.06543001181495</v>
          </cell>
          <cell r="F10">
            <v>256.82882500744967</v>
          </cell>
          <cell r="X10">
            <v>1.1702999999999999</v>
          </cell>
          <cell r="Y10">
            <v>1.1269</v>
          </cell>
          <cell r="Z10">
            <v>1.1269</v>
          </cell>
          <cell r="AA10">
            <v>1.1858</v>
          </cell>
          <cell r="AB10">
            <v>1.1152</v>
          </cell>
          <cell r="AD10">
            <v>1.89E-2</v>
          </cell>
          <cell r="AE10">
            <v>1.44E-2</v>
          </cell>
          <cell r="AF10">
            <v>1.44E-2</v>
          </cell>
          <cell r="AG10">
            <v>2.06E-2</v>
          </cell>
          <cell r="AH10">
            <v>1.23E-2</v>
          </cell>
        </row>
        <row r="11">
          <cell r="A11" t="str">
            <v>2016-1</v>
          </cell>
          <cell r="B11">
            <v>346.720748986128</v>
          </cell>
          <cell r="C11">
            <v>284.30282172386285</v>
          </cell>
          <cell r="D11">
            <v>284.30282172386285</v>
          </cell>
          <cell r="E11">
            <v>479.58023546306947</v>
          </cell>
          <cell r="F11">
            <v>253.25788877571213</v>
          </cell>
          <cell r="X11">
            <v>1.1269</v>
          </cell>
          <cell r="Y11">
            <v>1.1052999999999999</v>
          </cell>
          <cell r="Z11">
            <v>1.1052999999999999</v>
          </cell>
          <cell r="AA11">
            <v>1.1349</v>
          </cell>
          <cell r="AB11">
            <v>1.0996999999999999</v>
          </cell>
          <cell r="AD11">
            <v>1.67E-2</v>
          </cell>
          <cell r="AE11">
            <v>1.38E-2</v>
          </cell>
          <cell r="AF11">
            <v>1.38E-2</v>
          </cell>
          <cell r="AG11">
            <v>1.7899999999999999E-2</v>
          </cell>
          <cell r="AH11">
            <v>1.21E-2</v>
          </cell>
        </row>
        <row r="12">
          <cell r="A12" t="str">
            <v>2015-4</v>
          </cell>
          <cell r="B12">
            <v>333</v>
          </cell>
          <cell r="C12">
            <v>277</v>
          </cell>
          <cell r="D12">
            <v>277</v>
          </cell>
          <cell r="E12">
            <v>459</v>
          </cell>
          <cell r="F12">
            <v>249</v>
          </cell>
          <cell r="X12">
            <v>1.0826</v>
          </cell>
          <cell r="Y12">
            <v>1.0738000000000001</v>
          </cell>
          <cell r="Z12">
            <v>1.0738000000000001</v>
          </cell>
          <cell r="AA12">
            <v>1.0855999999999999</v>
          </cell>
          <cell r="AB12">
            <v>1.0837000000000001</v>
          </cell>
          <cell r="AD12">
            <v>1.37E-2</v>
          </cell>
          <cell r="AE12">
            <v>1.1900000000000001E-2</v>
          </cell>
          <cell r="AF12">
            <v>1.1900000000000001E-2</v>
          </cell>
          <cell r="AG12">
            <v>1.4500000000000001E-2</v>
          </cell>
          <cell r="AH12">
            <v>1.18E-2</v>
          </cell>
        </row>
        <row r="13">
          <cell r="A13" t="str">
            <v>2015-3</v>
          </cell>
          <cell r="B13">
            <v>327.65915576109415</v>
          </cell>
          <cell r="C13">
            <v>273.95905449510434</v>
          </cell>
          <cell r="D13">
            <v>273.95905449510434</v>
          </cell>
          <cell r="E13">
            <v>451.01699911565294</v>
          </cell>
          <cell r="F13">
            <v>244.38119540681129</v>
          </cell>
          <cell r="X13">
            <v>1.0651999999999999</v>
          </cell>
          <cell r="Y13">
            <v>1.0621</v>
          </cell>
          <cell r="Z13">
            <v>1.0621</v>
          </cell>
          <cell r="AA13">
            <v>1.0668</v>
          </cell>
          <cell r="AB13">
            <v>1.0636000000000001</v>
          </cell>
          <cell r="AD13">
            <v>1.3299999999999999E-2</v>
          </cell>
          <cell r="AE13">
            <v>1.2E-2</v>
          </cell>
          <cell r="AF13">
            <v>1.2E-2</v>
          </cell>
          <cell r="AG13">
            <v>1.4E-2</v>
          </cell>
          <cell r="AH13">
            <v>1.0800000000000001E-2</v>
          </cell>
        </row>
        <row r="14">
          <cell r="A14" t="str">
            <v>2015-2</v>
          </cell>
          <cell r="B14">
            <v>322.34053690220776</v>
          </cell>
          <cell r="C14">
            <v>271.46160770422546</v>
          </cell>
          <cell r="D14">
            <v>271.46160770422546</v>
          </cell>
          <cell r="E14">
            <v>442.69434542172456</v>
          </cell>
          <cell r="F14">
            <v>241.34030753190925</v>
          </cell>
          <cell r="X14">
            <v>1.048</v>
          </cell>
          <cell r="Y14">
            <v>1.0524</v>
          </cell>
          <cell r="Z14">
            <v>1.0524</v>
          </cell>
          <cell r="AA14">
            <v>1.0470999999999999</v>
          </cell>
          <cell r="AB14">
            <v>1.0504</v>
          </cell>
          <cell r="AD14">
            <v>1.2800000000000001E-2</v>
          </cell>
          <cell r="AE14">
            <v>1.2500000000000001E-2</v>
          </cell>
          <cell r="AF14">
            <v>1.2500000000000001E-2</v>
          </cell>
          <cell r="AG14">
            <v>1.32E-2</v>
          </cell>
          <cell r="AH14">
            <v>1.0500000000000001E-2</v>
          </cell>
        </row>
        <row r="15">
          <cell r="A15" t="str">
            <v>2015-1</v>
          </cell>
          <cell r="B15">
            <v>319.87748030386797</v>
          </cell>
          <cell r="C15">
            <v>269.60135833173649</v>
          </cell>
          <cell r="D15">
            <v>269.60135833173649</v>
          </cell>
          <cell r="E15">
            <v>439.18089823583784</v>
          </cell>
          <cell r="F15">
            <v>239.23503918706311</v>
          </cell>
          <cell r="X15">
            <v>1.0399</v>
          </cell>
          <cell r="Y15">
            <v>1.0451999999999999</v>
          </cell>
          <cell r="Z15">
            <v>1.0451999999999999</v>
          </cell>
          <cell r="AA15">
            <v>1.0387999999999999</v>
          </cell>
          <cell r="AB15">
            <v>1.0411999999999999</v>
          </cell>
          <cell r="AD15">
            <v>1.38E-2</v>
          </cell>
          <cell r="AE15">
            <v>1.3599999999999999E-2</v>
          </cell>
          <cell r="AF15">
            <v>1.3599999999999999E-2</v>
          </cell>
          <cell r="AG15">
            <v>1.4200000000000001E-2</v>
          </cell>
          <cell r="AH15">
            <v>1.0800000000000001E-2</v>
          </cell>
        </row>
        <row r="16">
          <cell r="A16" t="str">
            <v>2014-4</v>
          </cell>
          <cell r="B16">
            <v>318</v>
          </cell>
          <cell r="C16">
            <v>268</v>
          </cell>
          <cell r="D16">
            <v>268</v>
          </cell>
          <cell r="E16">
            <v>437</v>
          </cell>
          <cell r="F16">
            <v>237</v>
          </cell>
          <cell r="X16">
            <v>1.0347</v>
          </cell>
          <cell r="Y16">
            <v>1.0395000000000001</v>
          </cell>
          <cell r="Z16">
            <v>1.0395000000000001</v>
          </cell>
          <cell r="AA16">
            <v>1.0338000000000001</v>
          </cell>
          <cell r="AB16">
            <v>1.0316000000000001</v>
          </cell>
          <cell r="AD16">
            <v>1.6E-2</v>
          </cell>
          <cell r="AE16">
            <v>1.5599999999999999E-2</v>
          </cell>
          <cell r="AF16">
            <v>1.5599999999999999E-2</v>
          </cell>
          <cell r="AG16">
            <v>1.66E-2</v>
          </cell>
          <cell r="AH16">
            <v>1.12E-2</v>
          </cell>
        </row>
        <row r="17">
          <cell r="A17" t="str">
            <v>2014-3</v>
          </cell>
          <cell r="B17">
            <v>317.33359944117353</v>
          </cell>
          <cell r="C17">
            <v>266.90568668459315</v>
          </cell>
          <cell r="D17">
            <v>266.90568668459315</v>
          </cell>
          <cell r="E17">
            <v>436.47622852576905</v>
          </cell>
          <cell r="F17">
            <v>234.90930716622066</v>
          </cell>
          <cell r="X17">
            <v>1.0325</v>
          </cell>
          <cell r="Y17">
            <v>1.0353000000000001</v>
          </cell>
          <cell r="Z17">
            <v>1.0353000000000001</v>
          </cell>
          <cell r="AA17">
            <v>1.0326</v>
          </cell>
          <cell r="AB17">
            <v>1.0225</v>
          </cell>
          <cell r="AD17">
            <v>2.07E-2</v>
          </cell>
          <cell r="AE17">
            <v>1.95E-2</v>
          </cell>
          <cell r="AF17">
            <v>1.95E-2</v>
          </cell>
          <cell r="AG17">
            <v>2.1700000000000001E-2</v>
          </cell>
          <cell r="AH17">
            <v>1.2E-2</v>
          </cell>
        </row>
        <row r="18">
          <cell r="A18" t="str">
            <v>2014-2</v>
          </cell>
          <cell r="B18">
            <v>314.72141172386546</v>
          </cell>
          <cell r="C18">
            <v>263.03901319069001</v>
          </cell>
          <cell r="D18">
            <v>263.03901319069001</v>
          </cell>
          <cell r="E18">
            <v>433.65745506782821</v>
          </cell>
          <cell r="F18">
            <v>233.23005080045735</v>
          </cell>
          <cell r="X18">
            <v>1.024</v>
          </cell>
          <cell r="Y18">
            <v>1.0203</v>
          </cell>
          <cell r="Z18">
            <v>1.0203</v>
          </cell>
          <cell r="AA18">
            <v>1.0259</v>
          </cell>
          <cell r="AB18">
            <v>1.0152000000000001</v>
          </cell>
          <cell r="AD18">
            <v>2.69E-2</v>
          </cell>
          <cell r="AE18">
            <v>2.1899999999999999E-2</v>
          </cell>
          <cell r="AF18">
            <v>2.1899999999999999E-2</v>
          </cell>
          <cell r="AG18">
            <v>2.9399999999999999E-2</v>
          </cell>
          <cell r="AH18">
            <v>1.44E-2</v>
          </cell>
        </row>
        <row r="19">
          <cell r="A19" t="str">
            <v>2014-1</v>
          </cell>
          <cell r="B19">
            <v>307.34512863658733</v>
          </cell>
          <cell r="C19">
            <v>257.80556031626975</v>
          </cell>
          <cell r="D19">
            <v>257.80556031626975</v>
          </cell>
          <cell r="E19">
            <v>422.70928459677179</v>
          </cell>
          <cell r="F19">
            <v>229.73803270336617</v>
          </cell>
          <cell r="X19">
            <v>1</v>
          </cell>
          <cell r="Y19">
            <v>1</v>
          </cell>
          <cell r="Z19">
            <v>1</v>
          </cell>
          <cell r="AA19">
            <v>1</v>
          </cell>
          <cell r="AB19">
            <v>1</v>
          </cell>
          <cell r="AD19">
            <v>2.9700000000000001E-2</v>
          </cell>
          <cell r="AE19">
            <v>2.3399999999999997E-2</v>
          </cell>
          <cell r="AF19">
            <v>2.3399999999999997E-2</v>
          </cell>
          <cell r="AG19">
            <v>3.2799999999999996E-2</v>
          </cell>
          <cell r="AH19">
            <v>1.3600000000000001E-2</v>
          </cell>
        </row>
      </sheetData>
      <sheetData sheetId="37">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8"/>
      <sheetData sheetId="39">
        <row r="3">
          <cell r="C3" t="str">
            <v>商业</v>
          </cell>
          <cell r="D3" t="str">
            <v>办公</v>
          </cell>
          <cell r="E3" t="str">
            <v>住宅</v>
          </cell>
          <cell r="F3" t="str">
            <v>工业</v>
          </cell>
        </row>
        <row r="5">
          <cell r="B5" t="str">
            <v>Ⅰ—01</v>
          </cell>
          <cell r="C5">
            <v>29530</v>
          </cell>
          <cell r="D5">
            <v>28130</v>
          </cell>
          <cell r="E5">
            <v>27930</v>
          </cell>
          <cell r="F5">
            <v>11300</v>
          </cell>
        </row>
        <row r="6">
          <cell r="B6" t="str">
            <v>Ⅰ—02</v>
          </cell>
          <cell r="C6">
            <v>30290</v>
          </cell>
          <cell r="D6">
            <v>29210</v>
          </cell>
          <cell r="E6">
            <v>28860</v>
          </cell>
          <cell r="F6">
            <v>12600</v>
          </cell>
        </row>
        <row r="7">
          <cell r="B7" t="str">
            <v>Ⅰ—03</v>
          </cell>
          <cell r="C7">
            <v>29350</v>
          </cell>
          <cell r="D7">
            <v>28410</v>
          </cell>
          <cell r="E7">
            <v>27990</v>
          </cell>
          <cell r="F7">
            <v>12300</v>
          </cell>
        </row>
        <row r="8">
          <cell r="B8" t="str">
            <v>Ⅰ—04</v>
          </cell>
          <cell r="C8">
            <v>30890</v>
          </cell>
          <cell r="D8">
            <v>29780</v>
          </cell>
          <cell r="E8">
            <v>29270</v>
          </cell>
          <cell r="F8">
            <v>11600</v>
          </cell>
        </row>
        <row r="9">
          <cell r="B9" t="str">
            <v>Ⅰ—05</v>
          </cell>
          <cell r="C9">
            <v>28140</v>
          </cell>
        </row>
        <row r="10">
          <cell r="B10" t="str">
            <v>Ⅱ—01</v>
          </cell>
          <cell r="C10">
            <v>27450</v>
          </cell>
          <cell r="D10">
            <v>26180</v>
          </cell>
          <cell r="E10">
            <v>25980</v>
          </cell>
          <cell r="F10">
            <v>8910</v>
          </cell>
        </row>
        <row r="11">
          <cell r="B11" t="str">
            <v>Ⅱ—02</v>
          </cell>
          <cell r="C11">
            <v>22950</v>
          </cell>
          <cell r="D11">
            <v>22630</v>
          </cell>
          <cell r="E11">
            <v>22030</v>
          </cell>
          <cell r="F11">
            <v>8330</v>
          </cell>
        </row>
        <row r="12">
          <cell r="B12" t="str">
            <v>Ⅱ—03</v>
          </cell>
          <cell r="C12">
            <v>24940</v>
          </cell>
          <cell r="D12">
            <v>23180</v>
          </cell>
          <cell r="E12">
            <v>22910</v>
          </cell>
          <cell r="F12">
            <v>7180</v>
          </cell>
        </row>
        <row r="13">
          <cell r="B13" t="str">
            <v>Ⅱ—04</v>
          </cell>
          <cell r="C13">
            <v>24140</v>
          </cell>
          <cell r="D13">
            <v>22270</v>
          </cell>
          <cell r="E13">
            <v>21950</v>
          </cell>
          <cell r="F13">
            <v>7600</v>
          </cell>
        </row>
        <row r="14">
          <cell r="B14" t="str">
            <v>Ⅱ—05</v>
          </cell>
          <cell r="C14">
            <v>25600</v>
          </cell>
          <cell r="D14">
            <v>22260</v>
          </cell>
          <cell r="E14">
            <v>22110</v>
          </cell>
          <cell r="F14">
            <v>7630</v>
          </cell>
        </row>
        <row r="15">
          <cell r="B15" t="str">
            <v>Ⅱ—06</v>
          </cell>
          <cell r="C15">
            <v>24760</v>
          </cell>
          <cell r="D15">
            <v>24440</v>
          </cell>
          <cell r="E15">
            <v>24130</v>
          </cell>
          <cell r="F15">
            <v>9480</v>
          </cell>
        </row>
        <row r="16">
          <cell r="B16" t="str">
            <v>Ⅱ—07</v>
          </cell>
          <cell r="C16">
            <v>22220</v>
          </cell>
          <cell r="D16">
            <v>22310</v>
          </cell>
          <cell r="E16">
            <v>22000</v>
          </cell>
          <cell r="F16">
            <v>8900</v>
          </cell>
        </row>
        <row r="17">
          <cell r="B17" t="str">
            <v>Ⅱ—08</v>
          </cell>
          <cell r="C17">
            <v>24700</v>
          </cell>
          <cell r="D17">
            <v>25150</v>
          </cell>
          <cell r="E17">
            <v>24700</v>
          </cell>
        </row>
        <row r="18">
          <cell r="B18" t="str">
            <v>Ⅱ—09</v>
          </cell>
          <cell r="C18">
            <v>22350</v>
          </cell>
          <cell r="D18">
            <v>24340</v>
          </cell>
          <cell r="E18">
            <v>24100</v>
          </cell>
        </row>
        <row r="19">
          <cell r="B19" t="str">
            <v>Ⅱ—10</v>
          </cell>
          <cell r="C19">
            <v>23430</v>
          </cell>
          <cell r="D19">
            <v>21580</v>
          </cell>
          <cell r="E19">
            <v>21350</v>
          </cell>
        </row>
        <row r="20">
          <cell r="B20" t="str">
            <v>Ⅱ—11</v>
          </cell>
          <cell r="C20">
            <v>27660</v>
          </cell>
          <cell r="D20">
            <v>24240</v>
          </cell>
          <cell r="E20">
            <v>24020</v>
          </cell>
        </row>
        <row r="21">
          <cell r="B21" t="str">
            <v>Ⅱ—12</v>
          </cell>
          <cell r="C21">
            <v>24720</v>
          </cell>
          <cell r="D21">
            <v>21670</v>
          </cell>
          <cell r="E21">
            <v>21510</v>
          </cell>
        </row>
        <row r="22">
          <cell r="B22" t="str">
            <v>Ⅱ—13</v>
          </cell>
          <cell r="C22">
            <v>26530</v>
          </cell>
          <cell r="D22">
            <v>22980</v>
          </cell>
          <cell r="E22">
            <v>22650</v>
          </cell>
        </row>
        <row r="23">
          <cell r="B23" t="str">
            <v>Ⅱ—14</v>
          </cell>
          <cell r="C23">
            <v>24700</v>
          </cell>
          <cell r="D23">
            <v>27290</v>
          </cell>
          <cell r="E23">
            <v>26710</v>
          </cell>
        </row>
        <row r="24">
          <cell r="B24" t="str">
            <v>Ⅱ—15</v>
          </cell>
          <cell r="C24">
            <v>23070</v>
          </cell>
          <cell r="D24">
            <v>24130</v>
          </cell>
          <cell r="E24">
            <v>23860</v>
          </cell>
        </row>
        <row r="25">
          <cell r="B25" t="str">
            <v>Ⅱ—16</v>
          </cell>
          <cell r="C25">
            <v>27550</v>
          </cell>
          <cell r="D25">
            <v>25850</v>
          </cell>
          <cell r="E25">
            <v>25340</v>
          </cell>
        </row>
        <row r="26">
          <cell r="B26" t="str">
            <v>Ⅱ—17</v>
          </cell>
          <cell r="D26">
            <v>23900</v>
          </cell>
          <cell r="E26">
            <v>23590</v>
          </cell>
        </row>
        <row r="27">
          <cell r="B27" t="str">
            <v>Ⅱ—18</v>
          </cell>
          <cell r="D27">
            <v>22850</v>
          </cell>
          <cell r="E27">
            <v>21920</v>
          </cell>
        </row>
        <row r="28">
          <cell r="B28" t="str">
            <v>Ⅱ—19</v>
          </cell>
          <cell r="D28">
            <v>26610</v>
          </cell>
          <cell r="E28">
            <v>26370</v>
          </cell>
        </row>
        <row r="29">
          <cell r="B29" t="str">
            <v>Ⅲ—01</v>
          </cell>
          <cell r="C29">
            <v>22090</v>
          </cell>
          <cell r="D29">
            <v>21860</v>
          </cell>
          <cell r="E29">
            <v>19380</v>
          </cell>
          <cell r="F29">
            <v>6610</v>
          </cell>
        </row>
        <row r="30">
          <cell r="B30" t="str">
            <v>Ⅲ—02</v>
          </cell>
          <cell r="C30">
            <v>21380</v>
          </cell>
          <cell r="D30">
            <v>19930</v>
          </cell>
          <cell r="E30">
            <v>19860</v>
          </cell>
          <cell r="F30">
            <v>6010</v>
          </cell>
        </row>
        <row r="31">
          <cell r="B31" t="str">
            <v>Ⅲ—03</v>
          </cell>
          <cell r="C31">
            <v>21670</v>
          </cell>
          <cell r="D31">
            <v>20660</v>
          </cell>
          <cell r="E31">
            <v>20290</v>
          </cell>
          <cell r="F31">
            <v>5840</v>
          </cell>
        </row>
        <row r="32">
          <cell r="B32" t="str">
            <v>Ⅲ—04</v>
          </cell>
          <cell r="C32">
            <v>22280</v>
          </cell>
          <cell r="D32">
            <v>21800</v>
          </cell>
          <cell r="E32">
            <v>17650</v>
          </cell>
          <cell r="F32">
            <v>4690</v>
          </cell>
        </row>
        <row r="33">
          <cell r="B33" t="str">
            <v>Ⅲ—05</v>
          </cell>
          <cell r="C33">
            <v>22130</v>
          </cell>
          <cell r="D33">
            <v>20460</v>
          </cell>
          <cell r="E33">
            <v>18500</v>
          </cell>
          <cell r="F33">
            <v>5340</v>
          </cell>
        </row>
        <row r="34">
          <cell r="B34" t="str">
            <v>Ⅲ—06</v>
          </cell>
          <cell r="C34">
            <v>22070</v>
          </cell>
          <cell r="D34">
            <v>20110</v>
          </cell>
          <cell r="E34">
            <v>18830</v>
          </cell>
          <cell r="F34">
            <v>5190</v>
          </cell>
        </row>
        <row r="35">
          <cell r="B35" t="str">
            <v>Ⅲ—07</v>
          </cell>
          <cell r="C35">
            <v>22240</v>
          </cell>
          <cell r="D35">
            <v>19550</v>
          </cell>
          <cell r="E35">
            <v>19220</v>
          </cell>
          <cell r="F35">
            <v>5800</v>
          </cell>
        </row>
        <row r="36">
          <cell r="B36" t="str">
            <v>Ⅲ—08</v>
          </cell>
          <cell r="C36">
            <v>19750</v>
          </cell>
          <cell r="D36">
            <v>19790</v>
          </cell>
          <cell r="E36">
            <v>18510</v>
          </cell>
          <cell r="F36">
            <v>6520</v>
          </cell>
        </row>
        <row r="37">
          <cell r="B37" t="str">
            <v>Ⅲ—09</v>
          </cell>
          <cell r="C37">
            <v>22380</v>
          </cell>
          <cell r="D37">
            <v>18530</v>
          </cell>
          <cell r="E37">
            <v>17930</v>
          </cell>
          <cell r="F37">
            <v>6270</v>
          </cell>
        </row>
        <row r="38">
          <cell r="B38" t="str">
            <v>Ⅲ—10</v>
          </cell>
          <cell r="C38">
            <v>20200</v>
          </cell>
          <cell r="D38">
            <v>20070</v>
          </cell>
          <cell r="E38">
            <v>19950</v>
          </cell>
        </row>
        <row r="39">
          <cell r="B39" t="str">
            <v>Ⅲ—11</v>
          </cell>
          <cell r="C39">
            <v>19300</v>
          </cell>
          <cell r="D39">
            <v>20360</v>
          </cell>
          <cell r="E39">
            <v>20230</v>
          </cell>
        </row>
        <row r="40">
          <cell r="B40" t="str">
            <v>Ⅲ—12</v>
          </cell>
          <cell r="C40">
            <v>20210</v>
          </cell>
          <cell r="D40">
            <v>19060</v>
          </cell>
          <cell r="E40">
            <v>18890</v>
          </cell>
        </row>
        <row r="41">
          <cell r="B41" t="str">
            <v>Ⅲ—13</v>
          </cell>
          <cell r="C41">
            <v>20560</v>
          </cell>
          <cell r="D41">
            <v>21040</v>
          </cell>
          <cell r="E41">
            <v>20740</v>
          </cell>
        </row>
        <row r="42">
          <cell r="B42" t="str">
            <v>Ⅲ—14</v>
          </cell>
          <cell r="C42">
            <v>19280</v>
          </cell>
          <cell r="D42">
            <v>22940</v>
          </cell>
          <cell r="E42">
            <v>22500</v>
          </cell>
        </row>
        <row r="43">
          <cell r="B43" t="str">
            <v>Ⅲ—15</v>
          </cell>
          <cell r="C43">
            <v>21520</v>
          </cell>
          <cell r="D43">
            <v>19230</v>
          </cell>
          <cell r="E43">
            <v>18540</v>
          </cell>
        </row>
        <row r="44">
          <cell r="B44" t="str">
            <v>Ⅲ—16</v>
          </cell>
          <cell r="C44">
            <v>23260</v>
          </cell>
          <cell r="D44">
            <v>21180</v>
          </cell>
          <cell r="E44">
            <v>20730</v>
          </cell>
        </row>
        <row r="45">
          <cell r="B45" t="str">
            <v>Ⅲ—17</v>
          </cell>
          <cell r="C45">
            <v>19610</v>
          </cell>
          <cell r="D45">
            <v>18090</v>
          </cell>
          <cell r="E45">
            <v>17970</v>
          </cell>
        </row>
        <row r="46">
          <cell r="B46" t="str">
            <v>Ⅲ—18</v>
          </cell>
          <cell r="C46">
            <v>21660</v>
          </cell>
          <cell r="D46">
            <v>19190</v>
          </cell>
          <cell r="E46">
            <v>19790</v>
          </cell>
        </row>
        <row r="47">
          <cell r="B47" t="str">
            <v>Ⅲ—19</v>
          </cell>
          <cell r="C47">
            <v>18220</v>
          </cell>
          <cell r="E47">
            <v>17220</v>
          </cell>
        </row>
        <row r="48">
          <cell r="B48" t="str">
            <v>Ⅲ—20</v>
          </cell>
          <cell r="C48">
            <v>19430</v>
          </cell>
          <cell r="E48">
            <v>17830</v>
          </cell>
        </row>
        <row r="49">
          <cell r="B49" t="str">
            <v>Ⅳ-01</v>
          </cell>
          <cell r="C49">
            <v>17090</v>
          </cell>
          <cell r="D49">
            <v>16950</v>
          </cell>
          <cell r="E49">
            <v>16310</v>
          </cell>
          <cell r="F49">
            <v>4540</v>
          </cell>
        </row>
        <row r="50">
          <cell r="B50" t="str">
            <v>Ⅳ-02</v>
          </cell>
          <cell r="C50">
            <v>19040</v>
          </cell>
          <cell r="D50">
            <v>16960</v>
          </cell>
          <cell r="E50">
            <v>14800</v>
          </cell>
          <cell r="F50">
            <v>3940</v>
          </cell>
        </row>
        <row r="51">
          <cell r="B51" t="str">
            <v>Ⅳ-03</v>
          </cell>
          <cell r="C51">
            <v>17040</v>
          </cell>
          <cell r="D51">
            <v>16930</v>
          </cell>
          <cell r="E51">
            <v>15030</v>
          </cell>
          <cell r="F51">
            <v>4120</v>
          </cell>
        </row>
        <row r="52">
          <cell r="B52" t="str">
            <v>Ⅳ-04</v>
          </cell>
          <cell r="C52">
            <v>17110</v>
          </cell>
          <cell r="D52">
            <v>17750</v>
          </cell>
          <cell r="E52">
            <v>17310</v>
          </cell>
          <cell r="F52">
            <v>3220</v>
          </cell>
        </row>
        <row r="53">
          <cell r="B53" t="str">
            <v>Ⅳ-05</v>
          </cell>
          <cell r="C53">
            <v>17810</v>
          </cell>
          <cell r="D53">
            <v>17260</v>
          </cell>
          <cell r="E53">
            <v>17090</v>
          </cell>
          <cell r="F53">
            <v>3520</v>
          </cell>
        </row>
        <row r="54">
          <cell r="B54" t="str">
            <v>Ⅳ-06</v>
          </cell>
          <cell r="C54">
            <v>17410</v>
          </cell>
          <cell r="D54">
            <v>16780</v>
          </cell>
          <cell r="E54">
            <v>16370</v>
          </cell>
          <cell r="F54">
            <v>3410</v>
          </cell>
        </row>
        <row r="55">
          <cell r="B55" t="str">
            <v>Ⅳ-07</v>
          </cell>
          <cell r="C55">
            <v>16930</v>
          </cell>
          <cell r="D55">
            <v>14720</v>
          </cell>
          <cell r="E55">
            <v>15000</v>
          </cell>
          <cell r="F55">
            <v>3710</v>
          </cell>
        </row>
        <row r="56">
          <cell r="B56" t="str">
            <v>Ⅳ-08</v>
          </cell>
          <cell r="C56">
            <v>14930</v>
          </cell>
          <cell r="D56">
            <v>15850</v>
          </cell>
          <cell r="E56">
            <v>14320</v>
          </cell>
          <cell r="F56">
            <v>3960</v>
          </cell>
        </row>
        <row r="57">
          <cell r="B57" t="str">
            <v>Ⅳ-09</v>
          </cell>
          <cell r="C57">
            <v>16160</v>
          </cell>
          <cell r="D57">
            <v>16190</v>
          </cell>
          <cell r="E57">
            <v>15650</v>
          </cell>
          <cell r="F57">
            <v>4200</v>
          </cell>
        </row>
        <row r="58">
          <cell r="B58" t="str">
            <v>Ⅳ-10</v>
          </cell>
          <cell r="C58">
            <v>16360</v>
          </cell>
          <cell r="D58">
            <v>14050</v>
          </cell>
          <cell r="E58">
            <v>16070</v>
          </cell>
          <cell r="F58">
            <v>3990</v>
          </cell>
        </row>
        <row r="59">
          <cell r="B59" t="str">
            <v>Ⅳ-11</v>
          </cell>
          <cell r="C59">
            <v>14160</v>
          </cell>
          <cell r="D59">
            <v>16620</v>
          </cell>
          <cell r="E59">
            <v>13940</v>
          </cell>
          <cell r="F59">
            <v>4260</v>
          </cell>
        </row>
        <row r="60">
          <cell r="B60" t="str">
            <v>Ⅳ-12</v>
          </cell>
          <cell r="C60">
            <v>16750</v>
          </cell>
          <cell r="D60">
            <v>13910</v>
          </cell>
          <cell r="E60">
            <v>16550</v>
          </cell>
          <cell r="F60">
            <v>4550</v>
          </cell>
        </row>
        <row r="61">
          <cell r="B61" t="str">
            <v>Ⅳ-13</v>
          </cell>
          <cell r="C61">
            <v>14000</v>
          </cell>
          <cell r="D61">
            <v>14550</v>
          </cell>
          <cell r="E61">
            <v>13860</v>
          </cell>
        </row>
        <row r="62">
          <cell r="B62" t="str">
            <v>Ⅳ-14</v>
          </cell>
          <cell r="C62">
            <v>14660</v>
          </cell>
          <cell r="D62">
            <v>17450</v>
          </cell>
          <cell r="E62">
            <v>14470</v>
          </cell>
        </row>
        <row r="63">
          <cell r="B63" t="str">
            <v>Ⅳ-15</v>
          </cell>
          <cell r="C63">
            <v>17610</v>
          </cell>
          <cell r="D63">
            <v>16500</v>
          </cell>
          <cell r="E63">
            <v>17330</v>
          </cell>
        </row>
        <row r="64">
          <cell r="B64" t="str">
            <v>Ⅳ-16</v>
          </cell>
          <cell r="C64">
            <v>16590</v>
          </cell>
          <cell r="D64">
            <v>15130</v>
          </cell>
          <cell r="E64">
            <v>16420</v>
          </cell>
        </row>
        <row r="65">
          <cell r="B65" t="str">
            <v>Ⅳ-17</v>
          </cell>
          <cell r="C65">
            <v>15220</v>
          </cell>
          <cell r="D65">
            <v>14660</v>
          </cell>
          <cell r="E65">
            <v>15060</v>
          </cell>
        </row>
        <row r="66">
          <cell r="B66" t="str">
            <v>Ⅳ-18</v>
          </cell>
          <cell r="C66">
            <v>14720</v>
          </cell>
          <cell r="D66">
            <v>15970</v>
          </cell>
          <cell r="E66">
            <v>14610</v>
          </cell>
        </row>
        <row r="67">
          <cell r="B67" t="str">
            <v>Ⅳ-19</v>
          </cell>
          <cell r="C67">
            <v>16080</v>
          </cell>
          <cell r="D67">
            <v>14840</v>
          </cell>
          <cell r="E67">
            <v>15630</v>
          </cell>
        </row>
        <row r="68">
          <cell r="B68" t="str">
            <v>Ⅳ-20</v>
          </cell>
          <cell r="C68">
            <v>14940</v>
          </cell>
          <cell r="D68">
            <v>18000</v>
          </cell>
          <cell r="E68">
            <v>14040</v>
          </cell>
        </row>
        <row r="69">
          <cell r="B69" t="str">
            <v>Ⅳ-21</v>
          </cell>
          <cell r="C69">
            <v>18810</v>
          </cell>
          <cell r="D69">
            <v>15100</v>
          </cell>
          <cell r="E69">
            <v>14710</v>
          </cell>
        </row>
        <row r="70">
          <cell r="B70" t="str">
            <v>Ⅳ-22</v>
          </cell>
          <cell r="C70">
            <v>18270</v>
          </cell>
        </row>
        <row r="71">
          <cell r="B71" t="str">
            <v>Ⅳ-23</v>
          </cell>
          <cell r="C71">
            <v>15230</v>
          </cell>
        </row>
        <row r="72">
          <cell r="B72" t="str">
            <v>Ⅳ-电子城东</v>
          </cell>
          <cell r="F72">
            <v>4120</v>
          </cell>
        </row>
        <row r="73">
          <cell r="B73" t="str">
            <v>Ⅳ-电子城西</v>
          </cell>
          <cell r="F73">
            <v>3930</v>
          </cell>
        </row>
        <row r="74">
          <cell r="B74" t="str">
            <v>Ⅳ-上地核心</v>
          </cell>
          <cell r="F74">
            <v>4060</v>
          </cell>
        </row>
        <row r="75">
          <cell r="B75" t="str">
            <v>Ⅳ-丰台园东</v>
          </cell>
          <cell r="F75">
            <v>3750</v>
          </cell>
        </row>
        <row r="76">
          <cell r="B76" t="str">
            <v>Ⅴ-01</v>
          </cell>
          <cell r="C76">
            <v>14690</v>
          </cell>
          <cell r="D76">
            <v>14640</v>
          </cell>
          <cell r="E76">
            <v>14590</v>
          </cell>
          <cell r="F76">
            <v>3060</v>
          </cell>
        </row>
        <row r="77">
          <cell r="B77" t="str">
            <v>Ⅴ-02</v>
          </cell>
          <cell r="C77">
            <v>12550</v>
          </cell>
          <cell r="D77">
            <v>12480</v>
          </cell>
          <cell r="E77">
            <v>12450</v>
          </cell>
          <cell r="F77">
            <v>2590</v>
          </cell>
        </row>
        <row r="78">
          <cell r="B78" t="str">
            <v>Ⅴ-03</v>
          </cell>
          <cell r="C78">
            <v>14360</v>
          </cell>
          <cell r="D78">
            <v>14320</v>
          </cell>
          <cell r="E78">
            <v>12510</v>
          </cell>
          <cell r="F78">
            <v>2700</v>
          </cell>
        </row>
        <row r="79">
          <cell r="B79" t="str">
            <v>Ⅴ-04</v>
          </cell>
          <cell r="C79">
            <v>12590</v>
          </cell>
          <cell r="D79">
            <v>12540</v>
          </cell>
          <cell r="E79">
            <v>12350</v>
          </cell>
          <cell r="F79">
            <v>2740</v>
          </cell>
        </row>
        <row r="80">
          <cell r="B80" t="str">
            <v>Ⅴ-05</v>
          </cell>
          <cell r="C80">
            <v>12450</v>
          </cell>
          <cell r="D80">
            <v>12370</v>
          </cell>
          <cell r="E80">
            <v>10790</v>
          </cell>
          <cell r="F80">
            <v>2290</v>
          </cell>
        </row>
        <row r="81">
          <cell r="B81" t="str">
            <v>Ⅴ-06</v>
          </cell>
          <cell r="C81">
            <v>14210</v>
          </cell>
          <cell r="D81">
            <v>14150</v>
          </cell>
          <cell r="E81">
            <v>12730</v>
          </cell>
          <cell r="F81">
            <v>2240</v>
          </cell>
        </row>
        <row r="82">
          <cell r="B82" t="str">
            <v>Ⅴ-07</v>
          </cell>
          <cell r="C82">
            <v>10860</v>
          </cell>
          <cell r="D82">
            <v>10820</v>
          </cell>
          <cell r="E82">
            <v>14720</v>
          </cell>
          <cell r="F82">
            <v>2490</v>
          </cell>
        </row>
        <row r="83">
          <cell r="B83" t="str">
            <v>Ⅴ-08</v>
          </cell>
          <cell r="C83">
            <v>12810</v>
          </cell>
          <cell r="D83">
            <v>12760</v>
          </cell>
          <cell r="E83">
            <v>14830</v>
          </cell>
          <cell r="F83">
            <v>2450</v>
          </cell>
        </row>
        <row r="84">
          <cell r="B84" t="str">
            <v>Ⅴ-09</v>
          </cell>
          <cell r="C84">
            <v>14950</v>
          </cell>
          <cell r="D84">
            <v>14810</v>
          </cell>
          <cell r="E84">
            <v>12590</v>
          </cell>
          <cell r="F84">
            <v>2540</v>
          </cell>
        </row>
        <row r="85">
          <cell r="B85" t="str">
            <v>Ⅴ-10</v>
          </cell>
          <cell r="C85">
            <v>14960</v>
          </cell>
          <cell r="D85">
            <v>14890</v>
          </cell>
          <cell r="E85">
            <v>12840</v>
          </cell>
          <cell r="F85">
            <v>2840</v>
          </cell>
        </row>
        <row r="86">
          <cell r="B86" t="str">
            <v>Ⅴ-11</v>
          </cell>
          <cell r="C86">
            <v>12730</v>
          </cell>
          <cell r="D86">
            <v>12660</v>
          </cell>
          <cell r="E86">
            <v>13310</v>
          </cell>
          <cell r="F86">
            <v>3140</v>
          </cell>
        </row>
        <row r="87">
          <cell r="B87" t="str">
            <v>Ⅴ-12</v>
          </cell>
          <cell r="C87">
            <v>12940</v>
          </cell>
          <cell r="D87">
            <v>12890</v>
          </cell>
          <cell r="E87">
            <v>11580</v>
          </cell>
        </row>
        <row r="88">
          <cell r="B88" t="str">
            <v>Ⅴ-13</v>
          </cell>
          <cell r="C88">
            <v>13430</v>
          </cell>
          <cell r="D88">
            <v>13360</v>
          </cell>
          <cell r="E88">
            <v>12790</v>
          </cell>
        </row>
        <row r="89">
          <cell r="B89" t="str">
            <v>Ⅴ-14</v>
          </cell>
          <cell r="C89">
            <v>11680</v>
          </cell>
          <cell r="D89">
            <v>11630</v>
          </cell>
          <cell r="E89">
            <v>11320</v>
          </cell>
        </row>
        <row r="90">
          <cell r="B90" t="str">
            <v>Ⅴ-15</v>
          </cell>
          <cell r="C90">
            <v>12890</v>
          </cell>
          <cell r="D90">
            <v>12820</v>
          </cell>
          <cell r="E90">
            <v>12710</v>
          </cell>
        </row>
        <row r="91">
          <cell r="B91" t="str">
            <v>Ⅴ-16</v>
          </cell>
          <cell r="C91">
            <v>11410</v>
          </cell>
          <cell r="D91">
            <v>11360</v>
          </cell>
          <cell r="E91">
            <v>12670</v>
          </cell>
        </row>
        <row r="92">
          <cell r="B92" t="str">
            <v>Ⅴ-17</v>
          </cell>
          <cell r="C92">
            <v>12770</v>
          </cell>
          <cell r="D92">
            <v>12740</v>
          </cell>
          <cell r="E92">
            <v>11970</v>
          </cell>
        </row>
        <row r="93">
          <cell r="B93" t="str">
            <v>Ⅴ-18</v>
          </cell>
          <cell r="C93">
            <v>12740</v>
          </cell>
          <cell r="D93">
            <v>12700</v>
          </cell>
          <cell r="E93">
            <v>12540</v>
          </cell>
        </row>
        <row r="94">
          <cell r="B94" t="str">
            <v>Ⅴ-19</v>
          </cell>
          <cell r="C94">
            <v>12020</v>
          </cell>
          <cell r="D94">
            <v>11990</v>
          </cell>
          <cell r="E94">
            <v>13110</v>
          </cell>
        </row>
        <row r="95">
          <cell r="B95" t="str">
            <v>Ⅴ-20</v>
          </cell>
          <cell r="C95">
            <v>12620</v>
          </cell>
          <cell r="D95">
            <v>12580</v>
          </cell>
          <cell r="E95">
            <v>13160</v>
          </cell>
        </row>
        <row r="96">
          <cell r="B96" t="str">
            <v>Ⅴ-21</v>
          </cell>
          <cell r="C96">
            <v>13200</v>
          </cell>
          <cell r="D96">
            <v>13150</v>
          </cell>
          <cell r="E96">
            <v>12900</v>
          </cell>
        </row>
        <row r="97">
          <cell r="B97" t="str">
            <v>Ⅴ-22</v>
          </cell>
          <cell r="C97">
            <v>13270</v>
          </cell>
          <cell r="D97">
            <v>13210</v>
          </cell>
          <cell r="E97">
            <v>11080</v>
          </cell>
        </row>
        <row r="98">
          <cell r="B98" t="str">
            <v>Ⅴ-23</v>
          </cell>
          <cell r="C98">
            <v>13010</v>
          </cell>
          <cell r="D98">
            <v>12930</v>
          </cell>
          <cell r="E98">
            <v>12840</v>
          </cell>
        </row>
        <row r="99">
          <cell r="B99" t="str">
            <v>Ⅴ-24</v>
          </cell>
          <cell r="C99">
            <v>11190</v>
          </cell>
          <cell r="D99">
            <v>11130</v>
          </cell>
        </row>
        <row r="100">
          <cell r="B100" t="str">
            <v>Ⅴ-25</v>
          </cell>
          <cell r="C100">
            <v>14280</v>
          </cell>
          <cell r="D100">
            <v>14180</v>
          </cell>
        </row>
        <row r="101">
          <cell r="B101" t="str">
            <v>Ⅴ-26</v>
          </cell>
          <cell r="C101">
            <v>12960</v>
          </cell>
          <cell r="D101">
            <v>12890</v>
          </cell>
        </row>
        <row r="102">
          <cell r="B102" t="str">
            <v>Ⅴ-电子城北</v>
          </cell>
          <cell r="F102">
            <v>3100</v>
          </cell>
        </row>
        <row r="103">
          <cell r="B103" t="str">
            <v>Ⅴ-永丰产业基地</v>
          </cell>
          <cell r="F103">
            <v>2320</v>
          </cell>
        </row>
        <row r="104">
          <cell r="B104" t="str">
            <v>Ⅴ-航天城</v>
          </cell>
          <cell r="F104">
            <v>2320</v>
          </cell>
        </row>
        <row r="105">
          <cell r="B105" t="str">
            <v>Ⅴ-西北旺Ⅰ</v>
          </cell>
          <cell r="F105">
            <v>2320</v>
          </cell>
        </row>
        <row r="106">
          <cell r="B106" t="str">
            <v>Ⅴ-西北旺Ⅱ</v>
          </cell>
          <cell r="F106">
            <v>2320</v>
          </cell>
        </row>
        <row r="107">
          <cell r="B107" t="str">
            <v>Ⅴ-石景山园南区</v>
          </cell>
          <cell r="F107">
            <v>2280</v>
          </cell>
        </row>
        <row r="108">
          <cell r="B108" t="str">
            <v>Ⅴ-石景山园北Ⅰ</v>
          </cell>
          <cell r="F108">
            <v>2280</v>
          </cell>
        </row>
        <row r="109">
          <cell r="B109" t="str">
            <v>Ⅴ-石景山园北Ⅱ</v>
          </cell>
          <cell r="F109">
            <v>2280</v>
          </cell>
        </row>
        <row r="110">
          <cell r="B110" t="str">
            <v>Ⅵ-01</v>
          </cell>
          <cell r="C110">
            <v>10520</v>
          </cell>
          <cell r="D110">
            <v>10490</v>
          </cell>
          <cell r="E110">
            <v>10760</v>
          </cell>
          <cell r="F110">
            <v>2160</v>
          </cell>
        </row>
        <row r="111">
          <cell r="B111" t="str">
            <v>Ⅵ-02</v>
          </cell>
          <cell r="C111">
            <v>10090</v>
          </cell>
          <cell r="D111">
            <v>10060</v>
          </cell>
          <cell r="E111">
            <v>10300</v>
          </cell>
          <cell r="F111">
            <v>2010</v>
          </cell>
        </row>
        <row r="112">
          <cell r="B112" t="str">
            <v>Ⅵ-03</v>
          </cell>
          <cell r="C112">
            <v>9910</v>
          </cell>
          <cell r="D112">
            <v>9850</v>
          </cell>
          <cell r="E112">
            <v>9960</v>
          </cell>
          <cell r="F112">
            <v>2090</v>
          </cell>
        </row>
        <row r="113">
          <cell r="B113" t="str">
            <v>Ⅵ-04</v>
          </cell>
          <cell r="C113">
            <v>11430</v>
          </cell>
          <cell r="D113">
            <v>11400</v>
          </cell>
          <cell r="E113">
            <v>11710</v>
          </cell>
          <cell r="F113">
            <v>2050</v>
          </cell>
        </row>
        <row r="114">
          <cell r="B114" t="str">
            <v>Ⅵ-05</v>
          </cell>
          <cell r="C114">
            <v>11390</v>
          </cell>
          <cell r="D114">
            <v>11350</v>
          </cell>
          <cell r="E114">
            <v>11640</v>
          </cell>
          <cell r="F114">
            <v>1620</v>
          </cell>
        </row>
        <row r="115">
          <cell r="B115" t="str">
            <v>Ⅵ-06</v>
          </cell>
          <cell r="C115">
            <v>9930</v>
          </cell>
          <cell r="D115">
            <v>9900</v>
          </cell>
          <cell r="E115">
            <v>10160</v>
          </cell>
          <cell r="F115">
            <v>1580</v>
          </cell>
        </row>
        <row r="116">
          <cell r="B116" t="str">
            <v>Ⅵ-07</v>
          </cell>
          <cell r="C116">
            <v>9150</v>
          </cell>
          <cell r="D116">
            <v>9120</v>
          </cell>
          <cell r="E116">
            <v>9380</v>
          </cell>
          <cell r="F116">
            <v>1750</v>
          </cell>
        </row>
        <row r="117">
          <cell r="B117" t="str">
            <v>Ⅵ-08</v>
          </cell>
          <cell r="C117">
            <v>10680</v>
          </cell>
          <cell r="D117">
            <v>10650</v>
          </cell>
          <cell r="E117">
            <v>10970</v>
          </cell>
          <cell r="F117">
            <v>1730</v>
          </cell>
        </row>
        <row r="118">
          <cell r="B118" t="str">
            <v>Ⅵ-09</v>
          </cell>
          <cell r="C118">
            <v>10080</v>
          </cell>
          <cell r="D118">
            <v>10050</v>
          </cell>
          <cell r="E118">
            <v>10350</v>
          </cell>
          <cell r="F118">
            <v>1920</v>
          </cell>
        </row>
        <row r="119">
          <cell r="B119" t="str">
            <v>Ⅵ-10</v>
          </cell>
          <cell r="C119">
            <v>9450</v>
          </cell>
          <cell r="D119">
            <v>9410</v>
          </cell>
          <cell r="E119">
            <v>9680</v>
          </cell>
          <cell r="F119">
            <v>1880</v>
          </cell>
        </row>
        <row r="120">
          <cell r="B120" t="str">
            <v>Ⅵ-11</v>
          </cell>
          <cell r="C120">
            <v>8730</v>
          </cell>
          <cell r="D120">
            <v>8700</v>
          </cell>
          <cell r="E120">
            <v>8950</v>
          </cell>
          <cell r="F120">
            <v>1830</v>
          </cell>
        </row>
        <row r="121">
          <cell r="B121" t="str">
            <v>Ⅵ-12</v>
          </cell>
          <cell r="C121">
            <v>10070</v>
          </cell>
          <cell r="D121">
            <v>10040</v>
          </cell>
          <cell r="E121">
            <v>10270</v>
          </cell>
          <cell r="F121">
            <v>1960</v>
          </cell>
        </row>
        <row r="122">
          <cell r="B122" t="str">
            <v>Ⅵ-13</v>
          </cell>
          <cell r="C122">
            <v>10500</v>
          </cell>
          <cell r="D122">
            <v>10470</v>
          </cell>
          <cell r="E122">
            <v>10780</v>
          </cell>
          <cell r="F122">
            <v>2180</v>
          </cell>
        </row>
        <row r="123">
          <cell r="B123" t="str">
            <v>Ⅵ-14</v>
          </cell>
          <cell r="C123">
            <v>10390</v>
          </cell>
          <cell r="D123">
            <v>10360</v>
          </cell>
          <cell r="E123">
            <v>10660</v>
          </cell>
          <cell r="F123">
            <v>2040</v>
          </cell>
        </row>
        <row r="124">
          <cell r="B124" t="str">
            <v>Ⅵ-15</v>
          </cell>
          <cell r="C124">
            <v>10390</v>
          </cell>
          <cell r="D124">
            <v>10360</v>
          </cell>
          <cell r="E124">
            <v>10680</v>
          </cell>
        </row>
        <row r="125">
          <cell r="B125" t="str">
            <v>Ⅵ-16</v>
          </cell>
          <cell r="C125">
            <v>10440</v>
          </cell>
          <cell r="D125">
            <v>10410</v>
          </cell>
          <cell r="E125">
            <v>10710</v>
          </cell>
        </row>
        <row r="126">
          <cell r="B126" t="str">
            <v>Ⅵ-17</v>
          </cell>
          <cell r="C126">
            <v>10780</v>
          </cell>
          <cell r="D126">
            <v>10750</v>
          </cell>
          <cell r="E126">
            <v>11080</v>
          </cell>
        </row>
        <row r="127">
          <cell r="B127" t="str">
            <v>Ⅵ-18</v>
          </cell>
          <cell r="C127">
            <v>10100</v>
          </cell>
          <cell r="D127">
            <v>10070</v>
          </cell>
          <cell r="E127">
            <v>10350</v>
          </cell>
        </row>
        <row r="128">
          <cell r="B128" t="str">
            <v>Ⅵ-19</v>
          </cell>
          <cell r="C128">
            <v>9200</v>
          </cell>
          <cell r="D128">
            <v>9160</v>
          </cell>
          <cell r="E128">
            <v>9660</v>
          </cell>
        </row>
        <row r="129">
          <cell r="B129" t="str">
            <v>Ⅵ-20</v>
          </cell>
          <cell r="C129">
            <v>10340</v>
          </cell>
          <cell r="D129">
            <v>10310</v>
          </cell>
          <cell r="E129">
            <v>10580</v>
          </cell>
        </row>
        <row r="130">
          <cell r="B130" t="str">
            <v>Ⅵ-21</v>
          </cell>
          <cell r="C130">
            <v>9680</v>
          </cell>
          <cell r="D130">
            <v>9660</v>
          </cell>
          <cell r="E130">
            <v>9950</v>
          </cell>
        </row>
        <row r="131">
          <cell r="B131" t="str">
            <v>Ⅵ-22</v>
          </cell>
          <cell r="C131">
            <v>9540</v>
          </cell>
          <cell r="D131">
            <v>9510</v>
          </cell>
          <cell r="E131">
            <v>9790</v>
          </cell>
        </row>
        <row r="132">
          <cell r="B132" t="str">
            <v>Ⅵ-23</v>
          </cell>
          <cell r="C132">
            <v>9320</v>
          </cell>
          <cell r="D132">
            <v>9290</v>
          </cell>
          <cell r="E132">
            <v>9570</v>
          </cell>
        </row>
        <row r="133">
          <cell r="B133" t="str">
            <v>Ⅵ-24</v>
          </cell>
          <cell r="C133">
            <v>10310</v>
          </cell>
          <cell r="D133">
            <v>10280</v>
          </cell>
          <cell r="E133">
            <v>10530</v>
          </cell>
        </row>
        <row r="134">
          <cell r="B134" t="str">
            <v>Ⅵ-通1</v>
          </cell>
          <cell r="C134">
            <v>10370</v>
          </cell>
          <cell r="D134">
            <v>10310</v>
          </cell>
          <cell r="E134">
            <v>10240</v>
          </cell>
          <cell r="F134">
            <v>2060</v>
          </cell>
        </row>
        <row r="135">
          <cell r="B135" t="str">
            <v>Ⅵ-通2</v>
          </cell>
          <cell r="C135">
            <v>9300</v>
          </cell>
          <cell r="D135">
            <v>9270</v>
          </cell>
          <cell r="E135">
            <v>9350</v>
          </cell>
        </row>
        <row r="136">
          <cell r="B136" t="str">
            <v>Ⅵ-通3</v>
          </cell>
          <cell r="C136">
            <v>10160</v>
          </cell>
          <cell r="D136">
            <v>10110</v>
          </cell>
          <cell r="E136">
            <v>10080</v>
          </cell>
        </row>
        <row r="137">
          <cell r="B137" t="str">
            <v>Ⅵ-通4</v>
          </cell>
          <cell r="C137">
            <v>9200</v>
          </cell>
          <cell r="D137">
            <v>9170</v>
          </cell>
          <cell r="E137">
            <v>9450</v>
          </cell>
        </row>
        <row r="138">
          <cell r="B138" t="str">
            <v>Ⅵ-顺1</v>
          </cell>
          <cell r="C138">
            <v>9690</v>
          </cell>
          <cell r="D138">
            <v>9660</v>
          </cell>
          <cell r="E138">
            <v>9840</v>
          </cell>
        </row>
        <row r="139">
          <cell r="B139" t="str">
            <v>Ⅵ-兴1</v>
          </cell>
          <cell r="C139">
            <v>10290</v>
          </cell>
          <cell r="D139">
            <v>10260</v>
          </cell>
          <cell r="E139">
            <v>10550</v>
          </cell>
          <cell r="F139">
            <v>1700</v>
          </cell>
        </row>
        <row r="140">
          <cell r="B140" t="str">
            <v>Ⅵ-昌1</v>
          </cell>
          <cell r="C140">
            <v>9740</v>
          </cell>
          <cell r="D140">
            <v>9710</v>
          </cell>
          <cell r="E140">
            <v>10000</v>
          </cell>
          <cell r="F140">
            <v>2000</v>
          </cell>
        </row>
        <row r="141">
          <cell r="B141" t="str">
            <v>Ⅵ-昌2</v>
          </cell>
          <cell r="C141">
            <v>9810</v>
          </cell>
          <cell r="D141">
            <v>9770</v>
          </cell>
          <cell r="E141">
            <v>10060</v>
          </cell>
        </row>
        <row r="142">
          <cell r="B142" t="str">
            <v>Ⅵ-昌3</v>
          </cell>
          <cell r="C142">
            <v>9300</v>
          </cell>
          <cell r="D142">
            <v>9270</v>
          </cell>
          <cell r="E142">
            <v>9530</v>
          </cell>
        </row>
        <row r="143">
          <cell r="B143" t="str">
            <v>Ⅵ-昌4</v>
          </cell>
          <cell r="C143">
            <v>10080</v>
          </cell>
          <cell r="D143">
            <v>10050</v>
          </cell>
          <cell r="E143">
            <v>10340</v>
          </cell>
        </row>
        <row r="144">
          <cell r="B144" t="str">
            <v>Ⅵ-亦1</v>
          </cell>
          <cell r="C144">
            <v>9820</v>
          </cell>
          <cell r="D144">
            <v>9750</v>
          </cell>
          <cell r="E144">
            <v>9900</v>
          </cell>
        </row>
        <row r="145">
          <cell r="B145" t="str">
            <v>Ⅵ-创新园</v>
          </cell>
          <cell r="F145">
            <v>1740</v>
          </cell>
        </row>
        <row r="146">
          <cell r="B146" t="str">
            <v>Ⅵ-海淀环保园</v>
          </cell>
          <cell r="F146">
            <v>1740</v>
          </cell>
        </row>
        <row r="147">
          <cell r="B147" t="str">
            <v>Ⅵ-温泉科技Ⅰ</v>
          </cell>
          <cell r="F147">
            <v>1740</v>
          </cell>
        </row>
        <row r="148">
          <cell r="B148" t="str">
            <v>Ⅵ-温泉科技Ⅱ</v>
          </cell>
          <cell r="F148">
            <v>1740</v>
          </cell>
        </row>
        <row r="149">
          <cell r="B149" t="str">
            <v>Ⅵ-温泉科技Ⅲ</v>
          </cell>
          <cell r="F149">
            <v>1740</v>
          </cell>
        </row>
        <row r="150">
          <cell r="B150" t="str">
            <v>Ⅵ-天竺保税区南</v>
          </cell>
          <cell r="F150">
            <v>1610</v>
          </cell>
        </row>
        <row r="151">
          <cell r="B151" t="str">
            <v>Ⅵ-天竺保税区北1</v>
          </cell>
          <cell r="F151">
            <v>1610</v>
          </cell>
        </row>
        <row r="152">
          <cell r="B152" t="str">
            <v>Ⅵ-天竺保税区北2</v>
          </cell>
          <cell r="F152">
            <v>1610</v>
          </cell>
        </row>
        <row r="153">
          <cell r="B153" t="str">
            <v>Ⅵ-空港A</v>
          </cell>
          <cell r="F153">
            <v>1610</v>
          </cell>
        </row>
        <row r="154">
          <cell r="B154" t="str">
            <v>Ⅵ-空港B</v>
          </cell>
          <cell r="F154">
            <v>1610</v>
          </cell>
        </row>
        <row r="155">
          <cell r="B155" t="str">
            <v>Ⅵ-生命科学园</v>
          </cell>
          <cell r="F155">
            <v>1800</v>
          </cell>
        </row>
        <row r="156">
          <cell r="B156" t="str">
            <v>Ⅵ-昌三一光电</v>
          </cell>
          <cell r="F156">
            <v>1910</v>
          </cell>
        </row>
        <row r="157">
          <cell r="B157" t="str">
            <v>Ⅵ-BDA核心</v>
          </cell>
          <cell r="F157">
            <v>1500</v>
          </cell>
        </row>
        <row r="158">
          <cell r="B158" t="str">
            <v>Ⅶ-01</v>
          </cell>
          <cell r="C158">
            <v>8170</v>
          </cell>
          <cell r="D158">
            <v>8140</v>
          </cell>
          <cell r="E158">
            <v>8590</v>
          </cell>
          <cell r="F158">
            <v>1450</v>
          </cell>
        </row>
        <row r="159">
          <cell r="B159" t="str">
            <v>Ⅶ-02</v>
          </cell>
          <cell r="C159">
            <v>7410</v>
          </cell>
          <cell r="D159">
            <v>7370</v>
          </cell>
          <cell r="E159">
            <v>8030</v>
          </cell>
          <cell r="F159">
            <v>1510</v>
          </cell>
        </row>
        <row r="160">
          <cell r="B160" t="str">
            <v>Ⅶ-03</v>
          </cell>
          <cell r="C160">
            <v>7240</v>
          </cell>
          <cell r="D160">
            <v>7210</v>
          </cell>
          <cell r="E160">
            <v>7860</v>
          </cell>
          <cell r="F160">
            <v>1370</v>
          </cell>
        </row>
        <row r="161">
          <cell r="B161" t="str">
            <v>Ⅶ-04</v>
          </cell>
          <cell r="C161">
            <v>7720</v>
          </cell>
          <cell r="D161">
            <v>7690</v>
          </cell>
          <cell r="E161">
            <v>8200</v>
          </cell>
          <cell r="F161">
            <v>1190</v>
          </cell>
        </row>
        <row r="162">
          <cell r="B162" t="str">
            <v>Ⅶ-05</v>
          </cell>
          <cell r="C162">
            <v>6900</v>
          </cell>
          <cell r="D162">
            <v>6870</v>
          </cell>
          <cell r="E162">
            <v>7500</v>
          </cell>
          <cell r="F162">
            <v>1390</v>
          </cell>
        </row>
        <row r="163">
          <cell r="B163" t="str">
            <v>Ⅶ-06</v>
          </cell>
          <cell r="C163">
            <v>7120</v>
          </cell>
          <cell r="D163">
            <v>7090</v>
          </cell>
          <cell r="E163">
            <v>7690</v>
          </cell>
          <cell r="F163">
            <v>1230</v>
          </cell>
        </row>
        <row r="164">
          <cell r="B164" t="str">
            <v>Ⅶ-07</v>
          </cell>
          <cell r="C164">
            <v>6560</v>
          </cell>
          <cell r="D164">
            <v>6530</v>
          </cell>
          <cell r="E164">
            <v>7110</v>
          </cell>
          <cell r="F164">
            <v>1340</v>
          </cell>
        </row>
        <row r="165">
          <cell r="B165" t="str">
            <v>Ⅶ-08</v>
          </cell>
          <cell r="C165">
            <v>7450</v>
          </cell>
          <cell r="D165">
            <v>7430</v>
          </cell>
          <cell r="E165">
            <v>8110</v>
          </cell>
          <cell r="F165">
            <v>1290</v>
          </cell>
        </row>
        <row r="166">
          <cell r="B166" t="str">
            <v>Ⅶ-09</v>
          </cell>
          <cell r="C166">
            <v>7490</v>
          </cell>
          <cell r="D166">
            <v>7460</v>
          </cell>
          <cell r="E166">
            <v>8150</v>
          </cell>
          <cell r="F166">
            <v>1350</v>
          </cell>
        </row>
        <row r="167">
          <cell r="B167" t="str">
            <v>Ⅶ-10</v>
          </cell>
          <cell r="C167">
            <v>7540</v>
          </cell>
          <cell r="D167">
            <v>7510</v>
          </cell>
          <cell r="E167">
            <v>8030</v>
          </cell>
        </row>
        <row r="168">
          <cell r="B168" t="str">
            <v>Ⅶ-11</v>
          </cell>
          <cell r="C168">
            <v>7210</v>
          </cell>
          <cell r="D168">
            <v>7180</v>
          </cell>
          <cell r="E168">
            <v>7830</v>
          </cell>
        </row>
        <row r="169">
          <cell r="B169" t="str">
            <v>Ⅶ-12</v>
          </cell>
          <cell r="C169">
            <v>7040</v>
          </cell>
          <cell r="D169">
            <v>7020</v>
          </cell>
          <cell r="E169">
            <v>7670</v>
          </cell>
        </row>
        <row r="170">
          <cell r="B170" t="str">
            <v>Ⅶ-13</v>
          </cell>
          <cell r="C170">
            <v>8040</v>
          </cell>
          <cell r="D170">
            <v>7190</v>
          </cell>
          <cell r="E170">
            <v>7850</v>
          </cell>
        </row>
        <row r="171">
          <cell r="B171" t="str">
            <v>Ⅶ-门1</v>
          </cell>
          <cell r="C171">
            <v>7860</v>
          </cell>
          <cell r="D171">
            <v>7720</v>
          </cell>
          <cell r="E171">
            <v>8150</v>
          </cell>
          <cell r="F171">
            <v>1110</v>
          </cell>
        </row>
        <row r="172">
          <cell r="B172" t="str">
            <v>Ⅶ-房1</v>
          </cell>
          <cell r="C172">
            <v>7210</v>
          </cell>
          <cell r="D172">
            <v>7170</v>
          </cell>
          <cell r="E172">
            <v>7320</v>
          </cell>
        </row>
        <row r="173">
          <cell r="B173" t="str">
            <v>Ⅶ-房2</v>
          </cell>
          <cell r="C173">
            <v>6860</v>
          </cell>
          <cell r="D173">
            <v>6810</v>
          </cell>
          <cell r="E173">
            <v>7440</v>
          </cell>
        </row>
        <row r="174">
          <cell r="B174" t="str">
            <v>Ⅶ-通1</v>
          </cell>
          <cell r="C174">
            <v>7120</v>
          </cell>
          <cell r="D174">
            <v>7090</v>
          </cell>
          <cell r="E174">
            <v>7500</v>
          </cell>
          <cell r="F174">
            <v>1490</v>
          </cell>
        </row>
        <row r="175">
          <cell r="B175" t="str">
            <v>Ⅶ-顺1</v>
          </cell>
          <cell r="C175">
            <v>7850</v>
          </cell>
          <cell r="D175">
            <v>7820</v>
          </cell>
          <cell r="E175">
            <v>8120</v>
          </cell>
          <cell r="F175">
            <v>1530</v>
          </cell>
        </row>
        <row r="176">
          <cell r="B176" t="str">
            <v>Ⅶ-顺2</v>
          </cell>
          <cell r="C176">
            <v>7620</v>
          </cell>
          <cell r="D176">
            <v>7570</v>
          </cell>
          <cell r="E176">
            <v>7990</v>
          </cell>
          <cell r="F176">
            <v>1480</v>
          </cell>
        </row>
        <row r="177">
          <cell r="B177" t="str">
            <v>Ⅶ-兴1</v>
          </cell>
          <cell r="C177">
            <v>8590</v>
          </cell>
          <cell r="D177">
            <v>8570</v>
          </cell>
          <cell r="E177">
            <v>8740</v>
          </cell>
          <cell r="F177">
            <v>1540</v>
          </cell>
        </row>
        <row r="178">
          <cell r="B178" t="str">
            <v>Ⅶ-兴2</v>
          </cell>
          <cell r="C178">
            <v>7510</v>
          </cell>
          <cell r="D178">
            <v>7470</v>
          </cell>
          <cell r="E178">
            <v>8090</v>
          </cell>
          <cell r="F178">
            <v>1320</v>
          </cell>
        </row>
        <row r="179">
          <cell r="B179" t="str">
            <v>Ⅶ-兴3</v>
          </cell>
          <cell r="C179">
            <v>6380</v>
          </cell>
          <cell r="D179">
            <v>6340</v>
          </cell>
          <cell r="E179">
            <v>6810</v>
          </cell>
        </row>
        <row r="180">
          <cell r="B180" t="str">
            <v>Ⅶ-昌1</v>
          </cell>
          <cell r="C180">
            <v>7830</v>
          </cell>
          <cell r="D180">
            <v>7800</v>
          </cell>
          <cell r="E180">
            <v>7780</v>
          </cell>
          <cell r="F180">
            <v>1440</v>
          </cell>
        </row>
        <row r="181">
          <cell r="B181" t="str">
            <v>Ⅶ-昌2</v>
          </cell>
          <cell r="C181">
            <v>7110</v>
          </cell>
          <cell r="D181">
            <v>7080</v>
          </cell>
          <cell r="E181">
            <v>7730</v>
          </cell>
          <cell r="F181">
            <v>1350</v>
          </cell>
        </row>
        <row r="182">
          <cell r="B182" t="str">
            <v>Ⅶ-昌3</v>
          </cell>
          <cell r="C182">
            <v>7310</v>
          </cell>
          <cell r="D182">
            <v>7280</v>
          </cell>
          <cell r="E182">
            <v>7950</v>
          </cell>
          <cell r="F182">
            <v>1220</v>
          </cell>
        </row>
        <row r="183">
          <cell r="B183" t="str">
            <v>Ⅶ-昌4</v>
          </cell>
          <cell r="C183">
            <v>7470</v>
          </cell>
          <cell r="D183">
            <v>7440</v>
          </cell>
          <cell r="E183">
            <v>7880</v>
          </cell>
        </row>
        <row r="184">
          <cell r="B184" t="str">
            <v>Ⅶ-昌5</v>
          </cell>
          <cell r="C184">
            <v>6960</v>
          </cell>
          <cell r="D184">
            <v>6930</v>
          </cell>
          <cell r="E184">
            <v>7570</v>
          </cell>
        </row>
        <row r="185">
          <cell r="B185" t="str">
            <v>Ⅶ-亦1</v>
          </cell>
          <cell r="C185">
            <v>7260</v>
          </cell>
          <cell r="D185">
            <v>7230</v>
          </cell>
          <cell r="E185">
            <v>7710</v>
          </cell>
          <cell r="F185">
            <v>1360</v>
          </cell>
        </row>
        <row r="186">
          <cell r="B186" t="str">
            <v>Ⅶ-国际教育园</v>
          </cell>
          <cell r="F186">
            <v>1560</v>
          </cell>
        </row>
        <row r="187">
          <cell r="B187" t="str">
            <v>Ⅶ-农林园</v>
          </cell>
          <cell r="F187">
            <v>1560</v>
          </cell>
        </row>
        <row r="188">
          <cell r="B188" t="str">
            <v>Ⅶ-上庄科技</v>
          </cell>
          <cell r="F188">
            <v>1560</v>
          </cell>
        </row>
        <row r="189">
          <cell r="B189" t="str">
            <v>Ⅶ-文化教育基地</v>
          </cell>
          <cell r="F189">
            <v>1320</v>
          </cell>
        </row>
        <row r="190">
          <cell r="B190" t="str">
            <v>Ⅶ-苏家坨科技Ⅰ</v>
          </cell>
          <cell r="F190">
            <v>1320</v>
          </cell>
        </row>
        <row r="191">
          <cell r="B191" t="str">
            <v>Ⅶ-苏家坨科技Ⅱ</v>
          </cell>
          <cell r="F191">
            <v>1320</v>
          </cell>
        </row>
        <row r="192">
          <cell r="B192" t="str">
            <v>Ⅶ-丰台园西Ⅰ</v>
          </cell>
          <cell r="F192">
            <v>1100</v>
          </cell>
        </row>
        <row r="193">
          <cell r="B193" t="str">
            <v>Ⅶ-丰台园西Ⅱ</v>
          </cell>
          <cell r="F193">
            <v>1100</v>
          </cell>
        </row>
        <row r="194">
          <cell r="B194" t="str">
            <v>Ⅶ-石龙开发区</v>
          </cell>
          <cell r="F194">
            <v>1080</v>
          </cell>
        </row>
        <row r="195">
          <cell r="B195" t="str">
            <v>Ⅶ-光机电</v>
          </cell>
          <cell r="F195">
            <v>1270</v>
          </cell>
        </row>
        <row r="196">
          <cell r="B196" t="str">
            <v>Ⅶ-通州开发区西</v>
          </cell>
          <cell r="F196">
            <v>1150</v>
          </cell>
        </row>
        <row r="197">
          <cell r="B197" t="str">
            <v>Ⅶ-林河开发区</v>
          </cell>
          <cell r="F197">
            <v>1330</v>
          </cell>
        </row>
        <row r="198">
          <cell r="B198" t="str">
            <v>Ⅶ-大兴开发区</v>
          </cell>
          <cell r="F198">
            <v>1170</v>
          </cell>
        </row>
        <row r="199">
          <cell r="B199" t="str">
            <v>Ⅶ-昌平园南Ⅰ</v>
          </cell>
          <cell r="F199">
            <v>1120</v>
          </cell>
        </row>
        <row r="200">
          <cell r="B200" t="str">
            <v>Ⅶ-昌平园南Ⅱ</v>
          </cell>
          <cell r="F200">
            <v>1120</v>
          </cell>
        </row>
        <row r="201">
          <cell r="B201" t="str">
            <v>Ⅶ-昌平园北Ⅰ</v>
          </cell>
          <cell r="F201">
            <v>1540</v>
          </cell>
        </row>
        <row r="202">
          <cell r="B202" t="str">
            <v>Ⅶ-昌平园北Ⅱ</v>
          </cell>
          <cell r="F202">
            <v>1310</v>
          </cell>
        </row>
        <row r="203">
          <cell r="B203" t="str">
            <v>Ⅶ-昌平园北Ⅲ</v>
          </cell>
          <cell r="F203">
            <v>1310</v>
          </cell>
        </row>
        <row r="204">
          <cell r="B204" t="str">
            <v>Ⅶ-BDA东</v>
          </cell>
          <cell r="F204">
            <v>1080</v>
          </cell>
        </row>
        <row r="205">
          <cell r="B205" t="str">
            <v>Ⅶ-BDA西</v>
          </cell>
          <cell r="F205">
            <v>1080</v>
          </cell>
        </row>
        <row r="206">
          <cell r="B206" t="str">
            <v>Ⅷ-01</v>
          </cell>
          <cell r="C206">
            <v>5450</v>
          </cell>
          <cell r="D206">
            <v>5430</v>
          </cell>
          <cell r="E206">
            <v>5700</v>
          </cell>
          <cell r="F206">
            <v>1020</v>
          </cell>
        </row>
        <row r="207">
          <cell r="B207" t="str">
            <v>Ⅷ-02</v>
          </cell>
          <cell r="C207">
            <v>5860</v>
          </cell>
          <cell r="D207">
            <v>5820</v>
          </cell>
          <cell r="E207">
            <v>6050</v>
          </cell>
          <cell r="F207">
            <v>1080</v>
          </cell>
        </row>
        <row r="208">
          <cell r="B208" t="str">
            <v>Ⅷ-03</v>
          </cell>
          <cell r="C208">
            <v>4630</v>
          </cell>
          <cell r="D208">
            <v>4600</v>
          </cell>
          <cell r="E208">
            <v>4840</v>
          </cell>
          <cell r="F208">
            <v>900</v>
          </cell>
        </row>
        <row r="209">
          <cell r="B209" t="str">
            <v>Ⅷ-04</v>
          </cell>
          <cell r="C209">
            <v>5320</v>
          </cell>
          <cell r="D209">
            <v>5270</v>
          </cell>
          <cell r="E209">
            <v>5540</v>
          </cell>
          <cell r="F209">
            <v>980</v>
          </cell>
        </row>
        <row r="210">
          <cell r="B210" t="str">
            <v>Ⅷ-门1</v>
          </cell>
          <cell r="C210">
            <v>5760</v>
          </cell>
          <cell r="D210">
            <v>5710</v>
          </cell>
          <cell r="E210">
            <v>6010</v>
          </cell>
          <cell r="F210">
            <v>870</v>
          </cell>
        </row>
        <row r="211">
          <cell r="B211" t="str">
            <v>Ⅷ-门军</v>
          </cell>
          <cell r="C211">
            <v>4160</v>
          </cell>
          <cell r="D211">
            <v>4100</v>
          </cell>
          <cell r="E211">
            <v>4270</v>
          </cell>
          <cell r="F211">
            <v>790</v>
          </cell>
        </row>
        <row r="212">
          <cell r="B212" t="str">
            <v>Ⅷ-房1</v>
          </cell>
          <cell r="C212">
            <v>4880</v>
          </cell>
          <cell r="D212">
            <v>4850</v>
          </cell>
          <cell r="E212">
            <v>5110</v>
          </cell>
          <cell r="F212">
            <v>940</v>
          </cell>
        </row>
        <row r="213">
          <cell r="B213" t="str">
            <v>Ⅷ-房2</v>
          </cell>
          <cell r="C213">
            <v>4640</v>
          </cell>
          <cell r="D213">
            <v>4590</v>
          </cell>
          <cell r="E213">
            <v>4700</v>
          </cell>
          <cell r="F213">
            <v>1030</v>
          </cell>
        </row>
        <row r="214">
          <cell r="B214" t="str">
            <v>Ⅷ-房3</v>
          </cell>
          <cell r="C214">
            <v>4540</v>
          </cell>
          <cell r="D214">
            <v>4490</v>
          </cell>
          <cell r="E214">
            <v>4610</v>
          </cell>
        </row>
        <row r="215">
          <cell r="B215" t="str">
            <v>Ⅷ-通1</v>
          </cell>
          <cell r="C215">
            <v>5280</v>
          </cell>
          <cell r="D215">
            <v>5250</v>
          </cell>
          <cell r="E215">
            <v>5520</v>
          </cell>
          <cell r="F215">
            <v>1000</v>
          </cell>
        </row>
        <row r="216">
          <cell r="B216" t="str">
            <v>Ⅷ-通2</v>
          </cell>
          <cell r="C216">
            <v>5100</v>
          </cell>
          <cell r="D216">
            <v>5050</v>
          </cell>
          <cell r="E216">
            <v>5300</v>
          </cell>
          <cell r="F216">
            <v>950</v>
          </cell>
        </row>
        <row r="217">
          <cell r="B217" t="str">
            <v>Ⅷ-通3</v>
          </cell>
          <cell r="C217">
            <v>5370</v>
          </cell>
          <cell r="D217">
            <v>5320</v>
          </cell>
          <cell r="E217">
            <v>5410</v>
          </cell>
          <cell r="F217">
            <v>950</v>
          </cell>
        </row>
        <row r="218">
          <cell r="B218" t="str">
            <v>Ⅷ-顺1</v>
          </cell>
          <cell r="C218">
            <v>5540</v>
          </cell>
          <cell r="D218">
            <v>5480</v>
          </cell>
          <cell r="E218">
            <v>5740</v>
          </cell>
          <cell r="F218">
            <v>1020</v>
          </cell>
        </row>
        <row r="219">
          <cell r="B219" t="str">
            <v>Ⅷ-顺2</v>
          </cell>
          <cell r="C219">
            <v>5140</v>
          </cell>
          <cell r="D219">
            <v>5100</v>
          </cell>
          <cell r="E219">
            <v>5350</v>
          </cell>
          <cell r="F219">
            <v>1120</v>
          </cell>
        </row>
        <row r="220">
          <cell r="B220" t="str">
            <v>Ⅷ-顺3</v>
          </cell>
          <cell r="C220">
            <v>5040</v>
          </cell>
          <cell r="D220">
            <v>5000</v>
          </cell>
          <cell r="E220">
            <v>5240</v>
          </cell>
          <cell r="F220">
            <v>980</v>
          </cell>
        </row>
        <row r="221">
          <cell r="B221" t="str">
            <v>Ⅷ-顺4</v>
          </cell>
          <cell r="F221">
            <v>1070</v>
          </cell>
        </row>
        <row r="222">
          <cell r="B222" t="str">
            <v>Ⅷ-顺5</v>
          </cell>
          <cell r="F222">
            <v>870</v>
          </cell>
        </row>
        <row r="223">
          <cell r="B223" t="str">
            <v>Ⅷ-顺6</v>
          </cell>
          <cell r="F223">
            <v>940</v>
          </cell>
        </row>
        <row r="224">
          <cell r="B224" t="str">
            <v>Ⅷ-顺7</v>
          </cell>
          <cell r="F224">
            <v>990</v>
          </cell>
        </row>
        <row r="225">
          <cell r="B225" t="str">
            <v>Ⅷ-兴1</v>
          </cell>
          <cell r="C225">
            <v>5730</v>
          </cell>
          <cell r="D225">
            <v>5680</v>
          </cell>
          <cell r="E225">
            <v>6020</v>
          </cell>
          <cell r="F225">
            <v>1000</v>
          </cell>
        </row>
        <row r="226">
          <cell r="B226" t="str">
            <v>Ⅷ-兴2</v>
          </cell>
          <cell r="C226">
            <v>4970</v>
          </cell>
          <cell r="D226">
            <v>4940</v>
          </cell>
          <cell r="E226">
            <v>5180</v>
          </cell>
          <cell r="F226">
            <v>960</v>
          </cell>
        </row>
        <row r="227">
          <cell r="B227" t="str">
            <v>Ⅷ-昌1</v>
          </cell>
          <cell r="C227">
            <v>5550</v>
          </cell>
          <cell r="D227">
            <v>5500</v>
          </cell>
          <cell r="E227">
            <v>5780</v>
          </cell>
          <cell r="F227">
            <v>940</v>
          </cell>
        </row>
        <row r="228">
          <cell r="B228" t="str">
            <v>Ⅷ-昌2</v>
          </cell>
          <cell r="C228">
            <v>5460</v>
          </cell>
          <cell r="D228">
            <v>5420</v>
          </cell>
          <cell r="E228">
            <v>5690</v>
          </cell>
          <cell r="F228">
            <v>910</v>
          </cell>
        </row>
        <row r="229">
          <cell r="B229" t="str">
            <v>Ⅷ-昌3</v>
          </cell>
          <cell r="C229">
            <v>5310</v>
          </cell>
          <cell r="D229">
            <v>5270</v>
          </cell>
          <cell r="E229">
            <v>5510</v>
          </cell>
        </row>
        <row r="230">
          <cell r="B230" t="str">
            <v>Ⅷ-昌4</v>
          </cell>
          <cell r="C230">
            <v>4540</v>
          </cell>
          <cell r="D230">
            <v>4500</v>
          </cell>
          <cell r="E230">
            <v>4730</v>
          </cell>
        </row>
        <row r="231">
          <cell r="B231" t="str">
            <v>Ⅷ-平1</v>
          </cell>
          <cell r="C231">
            <v>4480</v>
          </cell>
          <cell r="D231">
            <v>4410</v>
          </cell>
          <cell r="E231">
            <v>4640</v>
          </cell>
        </row>
        <row r="232">
          <cell r="B232" t="str">
            <v>Ⅷ-怀1</v>
          </cell>
          <cell r="C232">
            <v>5670</v>
          </cell>
          <cell r="D232">
            <v>5600</v>
          </cell>
          <cell r="E232">
            <v>5890</v>
          </cell>
          <cell r="F232">
            <v>1150</v>
          </cell>
        </row>
        <row r="233">
          <cell r="B233" t="str">
            <v>Ⅷ-密1</v>
          </cell>
          <cell r="C233">
            <v>4590</v>
          </cell>
          <cell r="D233">
            <v>4500</v>
          </cell>
          <cell r="E233">
            <v>4600</v>
          </cell>
        </row>
        <row r="234">
          <cell r="B234" t="str">
            <v>Ⅷ-延1</v>
          </cell>
          <cell r="C234">
            <v>3990</v>
          </cell>
          <cell r="D234">
            <v>3950</v>
          </cell>
          <cell r="E234">
            <v>4180</v>
          </cell>
        </row>
        <row r="235">
          <cell r="B235" t="str">
            <v>Ⅷ-亦1</v>
          </cell>
          <cell r="C235">
            <v>5590</v>
          </cell>
          <cell r="D235">
            <v>5540</v>
          </cell>
          <cell r="E235">
            <v>5810</v>
          </cell>
          <cell r="F235">
            <v>970</v>
          </cell>
        </row>
        <row r="236">
          <cell r="B236" t="str">
            <v>Ⅷ-亦2</v>
          </cell>
          <cell r="F236">
            <v>1020</v>
          </cell>
        </row>
        <row r="237">
          <cell r="B237" t="str">
            <v>Ⅷ-良乡开发区A</v>
          </cell>
          <cell r="F237">
            <v>960</v>
          </cell>
        </row>
        <row r="238">
          <cell r="B238" t="str">
            <v>Ⅷ-良乡开发区B</v>
          </cell>
          <cell r="F238">
            <v>960</v>
          </cell>
        </row>
        <row r="239">
          <cell r="B239" t="str">
            <v>Ⅷ-良乡开发区C</v>
          </cell>
          <cell r="F239">
            <v>960</v>
          </cell>
        </row>
        <row r="240">
          <cell r="B240" t="str">
            <v>Ⅷ-通州环保园</v>
          </cell>
          <cell r="F240">
            <v>990</v>
          </cell>
        </row>
        <row r="241">
          <cell r="B241" t="str">
            <v>Ⅷ-空港北区A</v>
          </cell>
          <cell r="F241">
            <v>1000</v>
          </cell>
        </row>
        <row r="242">
          <cell r="B242" t="str">
            <v>Ⅷ-空港北区B</v>
          </cell>
          <cell r="F242">
            <v>980</v>
          </cell>
        </row>
        <row r="243">
          <cell r="B243" t="str">
            <v>Ⅷ-生物医药基地</v>
          </cell>
          <cell r="F243">
            <v>970</v>
          </cell>
        </row>
        <row r="244">
          <cell r="B244" t="str">
            <v>Ⅷ-小汤山工业园</v>
          </cell>
          <cell r="F244">
            <v>970</v>
          </cell>
        </row>
        <row r="245">
          <cell r="B245" t="str">
            <v>Ⅸ-01</v>
          </cell>
          <cell r="C245">
            <v>4050</v>
          </cell>
          <cell r="D245">
            <v>4020</v>
          </cell>
          <cell r="E245">
            <v>4160</v>
          </cell>
          <cell r="F245">
            <v>840</v>
          </cell>
        </row>
        <row r="246">
          <cell r="B246" t="str">
            <v>Ⅸ-02</v>
          </cell>
          <cell r="C246">
            <v>4010</v>
          </cell>
          <cell r="D246">
            <v>3960</v>
          </cell>
          <cell r="E246">
            <v>4130</v>
          </cell>
          <cell r="F246">
            <v>840</v>
          </cell>
        </row>
        <row r="247">
          <cell r="B247" t="str">
            <v>Ⅸ-门1</v>
          </cell>
          <cell r="C247">
            <v>3170</v>
          </cell>
          <cell r="D247">
            <v>3140</v>
          </cell>
          <cell r="E247">
            <v>3270</v>
          </cell>
          <cell r="F247">
            <v>640</v>
          </cell>
        </row>
        <row r="248">
          <cell r="B248" t="str">
            <v>Ⅸ-门2</v>
          </cell>
          <cell r="C248">
            <v>3140</v>
          </cell>
          <cell r="D248">
            <v>3120</v>
          </cell>
          <cell r="E248">
            <v>3240</v>
          </cell>
          <cell r="F248">
            <v>620</v>
          </cell>
        </row>
        <row r="249">
          <cell r="B249" t="str">
            <v>Ⅸ-门潭</v>
          </cell>
          <cell r="C249">
            <v>3200</v>
          </cell>
          <cell r="D249">
            <v>3100</v>
          </cell>
          <cell r="E249">
            <v>3230</v>
          </cell>
          <cell r="F249">
            <v>750</v>
          </cell>
        </row>
        <row r="250">
          <cell r="B250" t="str">
            <v>Ⅸ-房1</v>
          </cell>
          <cell r="C250">
            <v>4060</v>
          </cell>
          <cell r="D250">
            <v>4000</v>
          </cell>
          <cell r="E250">
            <v>4140</v>
          </cell>
          <cell r="F250">
            <v>790</v>
          </cell>
        </row>
        <row r="251">
          <cell r="B251" t="str">
            <v>Ⅸ-房2</v>
          </cell>
          <cell r="C251">
            <v>3990</v>
          </cell>
          <cell r="D251">
            <v>3970</v>
          </cell>
          <cell r="E251">
            <v>4110</v>
          </cell>
          <cell r="F251">
            <v>730</v>
          </cell>
        </row>
        <row r="252">
          <cell r="B252" t="str">
            <v>Ⅸ-房3</v>
          </cell>
          <cell r="C252">
            <v>3560</v>
          </cell>
          <cell r="D252">
            <v>3530</v>
          </cell>
          <cell r="E252">
            <v>3650</v>
          </cell>
          <cell r="F252">
            <v>750</v>
          </cell>
        </row>
        <row r="253">
          <cell r="B253" t="str">
            <v>Ⅸ-房4</v>
          </cell>
          <cell r="C253">
            <v>3780</v>
          </cell>
          <cell r="D253">
            <v>3750</v>
          </cell>
          <cell r="E253">
            <v>3870</v>
          </cell>
          <cell r="F253">
            <v>770</v>
          </cell>
        </row>
        <row r="254">
          <cell r="B254" t="str">
            <v>Ⅸ-房5</v>
          </cell>
          <cell r="F254">
            <v>740</v>
          </cell>
        </row>
        <row r="255">
          <cell r="B255" t="str">
            <v>Ⅸ-房6</v>
          </cell>
          <cell r="F255">
            <v>760</v>
          </cell>
        </row>
        <row r="256">
          <cell r="B256" t="str">
            <v>Ⅸ-通1</v>
          </cell>
          <cell r="C256">
            <v>3760</v>
          </cell>
          <cell r="D256">
            <v>3730</v>
          </cell>
          <cell r="E256">
            <v>3870</v>
          </cell>
          <cell r="F256">
            <v>830</v>
          </cell>
        </row>
        <row r="257">
          <cell r="B257" t="str">
            <v>Ⅸ-通2</v>
          </cell>
          <cell r="C257">
            <v>3570</v>
          </cell>
          <cell r="D257">
            <v>3540</v>
          </cell>
          <cell r="E257">
            <v>3650</v>
          </cell>
          <cell r="F257">
            <v>790</v>
          </cell>
        </row>
        <row r="258">
          <cell r="B258" t="str">
            <v>Ⅸ-通3</v>
          </cell>
          <cell r="C258">
            <v>3410</v>
          </cell>
          <cell r="D258">
            <v>3380</v>
          </cell>
          <cell r="E258">
            <v>3500</v>
          </cell>
          <cell r="F258">
            <v>830</v>
          </cell>
        </row>
        <row r="259">
          <cell r="B259" t="str">
            <v>Ⅸ-顺1</v>
          </cell>
          <cell r="C259">
            <v>3870</v>
          </cell>
          <cell r="D259">
            <v>3840</v>
          </cell>
          <cell r="E259">
            <v>3970</v>
          </cell>
          <cell r="F259">
            <v>830</v>
          </cell>
        </row>
        <row r="260">
          <cell r="B260" t="str">
            <v>Ⅸ-顺2</v>
          </cell>
          <cell r="C260">
            <v>3700</v>
          </cell>
          <cell r="D260">
            <v>3660</v>
          </cell>
          <cell r="E260">
            <v>3810</v>
          </cell>
          <cell r="F260">
            <v>790</v>
          </cell>
        </row>
        <row r="261">
          <cell r="B261" t="str">
            <v>Ⅸ-顺3</v>
          </cell>
          <cell r="C261">
            <v>3470</v>
          </cell>
          <cell r="D261">
            <v>3430</v>
          </cell>
          <cell r="E261">
            <v>3640</v>
          </cell>
          <cell r="F261">
            <v>760</v>
          </cell>
        </row>
        <row r="262">
          <cell r="B262" t="str">
            <v>Ⅸ-顺4</v>
          </cell>
          <cell r="C262">
            <v>3510</v>
          </cell>
          <cell r="D262">
            <v>3470</v>
          </cell>
          <cell r="E262">
            <v>3680</v>
          </cell>
        </row>
        <row r="263">
          <cell r="B263" t="str">
            <v>Ⅸ-兴1</v>
          </cell>
          <cell r="C263">
            <v>3960</v>
          </cell>
          <cell r="D263">
            <v>3930</v>
          </cell>
          <cell r="E263">
            <v>4070</v>
          </cell>
          <cell r="F263">
            <v>830</v>
          </cell>
        </row>
        <row r="264">
          <cell r="B264" t="str">
            <v>Ⅸ-兴2</v>
          </cell>
          <cell r="C264">
            <v>4010</v>
          </cell>
          <cell r="D264">
            <v>3980</v>
          </cell>
          <cell r="E264">
            <v>4150</v>
          </cell>
          <cell r="F264">
            <v>760</v>
          </cell>
        </row>
        <row r="265">
          <cell r="B265" t="str">
            <v>Ⅸ-兴3</v>
          </cell>
          <cell r="C265">
            <v>3910</v>
          </cell>
          <cell r="D265">
            <v>3890</v>
          </cell>
          <cell r="E265">
            <v>4040</v>
          </cell>
          <cell r="F265">
            <v>780</v>
          </cell>
        </row>
        <row r="266">
          <cell r="B266" t="str">
            <v>Ⅸ-兴4</v>
          </cell>
          <cell r="C266">
            <v>3930</v>
          </cell>
          <cell r="D266">
            <v>3900</v>
          </cell>
          <cell r="E266">
            <v>4080</v>
          </cell>
          <cell r="F266">
            <v>770</v>
          </cell>
        </row>
        <row r="267">
          <cell r="B267" t="str">
            <v>Ⅸ-兴5</v>
          </cell>
          <cell r="C267">
            <v>3800</v>
          </cell>
          <cell r="D267">
            <v>3780</v>
          </cell>
          <cell r="E267">
            <v>3930</v>
          </cell>
        </row>
        <row r="268">
          <cell r="B268" t="str">
            <v>Ⅸ-昌1</v>
          </cell>
          <cell r="C268">
            <v>3460</v>
          </cell>
          <cell r="D268">
            <v>3430</v>
          </cell>
          <cell r="E268">
            <v>3560</v>
          </cell>
          <cell r="F268">
            <v>840</v>
          </cell>
        </row>
        <row r="269">
          <cell r="B269" t="str">
            <v>Ⅸ-昌2</v>
          </cell>
          <cell r="C269">
            <v>3210</v>
          </cell>
          <cell r="D269">
            <v>3190</v>
          </cell>
          <cell r="E269">
            <v>3310</v>
          </cell>
          <cell r="F269">
            <v>730</v>
          </cell>
        </row>
        <row r="270">
          <cell r="B270" t="str">
            <v>Ⅸ-昌3</v>
          </cell>
          <cell r="C270">
            <v>3240</v>
          </cell>
          <cell r="D270">
            <v>3210</v>
          </cell>
          <cell r="E270">
            <v>3390</v>
          </cell>
          <cell r="F270">
            <v>820</v>
          </cell>
        </row>
        <row r="271">
          <cell r="B271" t="str">
            <v>Ⅸ-昌4</v>
          </cell>
          <cell r="C271">
            <v>3300</v>
          </cell>
          <cell r="D271">
            <v>3270</v>
          </cell>
          <cell r="E271">
            <v>3380</v>
          </cell>
          <cell r="F271">
            <v>750</v>
          </cell>
        </row>
        <row r="272">
          <cell r="B272" t="str">
            <v>Ⅸ-昌5</v>
          </cell>
          <cell r="F272">
            <v>740</v>
          </cell>
        </row>
        <row r="273">
          <cell r="B273" t="str">
            <v>Ⅸ-昌南</v>
          </cell>
          <cell r="C273">
            <v>3130</v>
          </cell>
          <cell r="D273">
            <v>3100</v>
          </cell>
          <cell r="E273">
            <v>3230</v>
          </cell>
          <cell r="F273">
            <v>700</v>
          </cell>
        </row>
        <row r="274">
          <cell r="B274" t="str">
            <v>Ⅸ-平1</v>
          </cell>
          <cell r="C274">
            <v>3460</v>
          </cell>
          <cell r="D274">
            <v>3430</v>
          </cell>
          <cell r="E274">
            <v>3560</v>
          </cell>
          <cell r="F274">
            <v>690</v>
          </cell>
        </row>
        <row r="275">
          <cell r="B275" t="str">
            <v>Ⅸ-怀1</v>
          </cell>
          <cell r="C275">
            <v>4040</v>
          </cell>
          <cell r="D275">
            <v>4020</v>
          </cell>
          <cell r="E275">
            <v>4160</v>
          </cell>
          <cell r="F275">
            <v>820</v>
          </cell>
        </row>
        <row r="276">
          <cell r="B276" t="str">
            <v>Ⅸ-密1</v>
          </cell>
          <cell r="C276">
            <v>3270</v>
          </cell>
          <cell r="D276">
            <v>3240</v>
          </cell>
          <cell r="E276">
            <v>3350</v>
          </cell>
          <cell r="F276">
            <v>680</v>
          </cell>
        </row>
        <row r="277">
          <cell r="B277" t="str">
            <v>Ⅸ-延1</v>
          </cell>
          <cell r="C277">
            <v>2930</v>
          </cell>
          <cell r="D277">
            <v>2900</v>
          </cell>
          <cell r="E277">
            <v>3000</v>
          </cell>
          <cell r="F277">
            <v>640</v>
          </cell>
        </row>
        <row r="278">
          <cell r="B278" t="str">
            <v>Ⅸ-亦1</v>
          </cell>
          <cell r="C278">
            <v>4080</v>
          </cell>
          <cell r="D278">
            <v>4030</v>
          </cell>
          <cell r="E278">
            <v>4140</v>
          </cell>
          <cell r="F278">
            <v>850</v>
          </cell>
        </row>
        <row r="279">
          <cell r="B279" t="str">
            <v>Ⅸ-房山工业园东</v>
          </cell>
          <cell r="F279">
            <v>760</v>
          </cell>
        </row>
        <row r="280">
          <cell r="B280" t="str">
            <v>Ⅸ-房山工业园西</v>
          </cell>
          <cell r="F280">
            <v>760</v>
          </cell>
        </row>
        <row r="281">
          <cell r="B281" t="str">
            <v>Ⅸ-通州开发区东</v>
          </cell>
          <cell r="F281">
            <v>780</v>
          </cell>
        </row>
        <row r="282">
          <cell r="B282" t="str">
            <v>Ⅸ-永乐开发区</v>
          </cell>
          <cell r="F282">
            <v>730</v>
          </cell>
        </row>
        <row r="283">
          <cell r="B283" t="str">
            <v>Ⅸ-采育开发区</v>
          </cell>
          <cell r="F283">
            <v>770</v>
          </cell>
        </row>
        <row r="284">
          <cell r="B284" t="str">
            <v>Ⅸ-兴谷开发区A</v>
          </cell>
          <cell r="F284">
            <v>640</v>
          </cell>
        </row>
        <row r="285">
          <cell r="B285" t="str">
            <v>Ⅸ-兴谷开发区B</v>
          </cell>
          <cell r="F285">
            <v>640</v>
          </cell>
        </row>
        <row r="286">
          <cell r="B286" t="str">
            <v>Ⅸ-雁栖开发区A</v>
          </cell>
          <cell r="F286">
            <v>850</v>
          </cell>
        </row>
        <row r="287">
          <cell r="B287" t="str">
            <v>Ⅸ-雁栖开发区B</v>
          </cell>
          <cell r="F287">
            <v>760</v>
          </cell>
        </row>
        <row r="288">
          <cell r="B288" t="str">
            <v>Ⅸ-雁栖开发区C</v>
          </cell>
          <cell r="F288">
            <v>830</v>
          </cell>
        </row>
        <row r="289">
          <cell r="B289" t="str">
            <v>Ⅸ-密云开发区</v>
          </cell>
          <cell r="F289">
            <v>680</v>
          </cell>
        </row>
        <row r="290">
          <cell r="B290" t="str">
            <v>Ⅹ-01</v>
          </cell>
          <cell r="C290">
            <v>2770</v>
          </cell>
          <cell r="D290">
            <v>2740</v>
          </cell>
          <cell r="E290">
            <v>2720</v>
          </cell>
        </row>
        <row r="291">
          <cell r="B291" t="str">
            <v>Ⅹ-02</v>
          </cell>
          <cell r="C291">
            <v>2670</v>
          </cell>
          <cell r="D291">
            <v>2640</v>
          </cell>
          <cell r="E291">
            <v>2620</v>
          </cell>
        </row>
        <row r="292">
          <cell r="B292" t="str">
            <v>Ⅹ-门1</v>
          </cell>
          <cell r="C292">
            <v>2180</v>
          </cell>
          <cell r="D292">
            <v>2140</v>
          </cell>
          <cell r="E292">
            <v>2120</v>
          </cell>
          <cell r="F292">
            <v>490</v>
          </cell>
        </row>
        <row r="293">
          <cell r="B293" t="str">
            <v>Ⅹ-门斋</v>
          </cell>
          <cell r="F293">
            <v>470</v>
          </cell>
        </row>
        <row r="294">
          <cell r="B294" t="str">
            <v>Ⅹ-房1</v>
          </cell>
          <cell r="C294">
            <v>2730</v>
          </cell>
          <cell r="D294">
            <v>2700</v>
          </cell>
          <cell r="E294">
            <v>2680</v>
          </cell>
          <cell r="F294">
            <v>490</v>
          </cell>
        </row>
        <row r="295">
          <cell r="B295" t="str">
            <v>Ⅹ-房2</v>
          </cell>
          <cell r="C295">
            <v>2380</v>
          </cell>
          <cell r="D295">
            <v>2350</v>
          </cell>
          <cell r="E295">
            <v>2330</v>
          </cell>
          <cell r="F295">
            <v>530</v>
          </cell>
        </row>
        <row r="296">
          <cell r="B296" t="str">
            <v>Ⅹ-通1</v>
          </cell>
          <cell r="C296">
            <v>2650</v>
          </cell>
          <cell r="D296">
            <v>2620</v>
          </cell>
          <cell r="E296">
            <v>2590</v>
          </cell>
          <cell r="F296">
            <v>590</v>
          </cell>
        </row>
        <row r="297">
          <cell r="B297" t="str">
            <v>Ⅹ-顺1</v>
          </cell>
          <cell r="C297">
            <v>2700</v>
          </cell>
          <cell r="D297">
            <v>2670</v>
          </cell>
          <cell r="E297">
            <v>2650</v>
          </cell>
          <cell r="F297">
            <v>630</v>
          </cell>
        </row>
        <row r="298">
          <cell r="B298" t="str">
            <v>Ⅹ-顺2</v>
          </cell>
          <cell r="C298">
            <v>2650</v>
          </cell>
          <cell r="D298">
            <v>2620</v>
          </cell>
          <cell r="E298">
            <v>2590</v>
          </cell>
          <cell r="F298">
            <v>640</v>
          </cell>
        </row>
        <row r="299">
          <cell r="B299" t="str">
            <v>Ⅹ-顺3</v>
          </cell>
          <cell r="C299">
            <v>2500</v>
          </cell>
          <cell r="D299">
            <v>2480</v>
          </cell>
          <cell r="E299">
            <v>2460</v>
          </cell>
        </row>
        <row r="300">
          <cell r="B300" t="str">
            <v>Ⅹ-兴1</v>
          </cell>
          <cell r="C300">
            <v>2760</v>
          </cell>
          <cell r="D300">
            <v>2730</v>
          </cell>
          <cell r="E300">
            <v>2700</v>
          </cell>
          <cell r="F300">
            <v>630</v>
          </cell>
        </row>
        <row r="301">
          <cell r="B301" t="str">
            <v>Ⅹ-兴2</v>
          </cell>
          <cell r="C301">
            <v>2510</v>
          </cell>
          <cell r="D301">
            <v>2480</v>
          </cell>
          <cell r="E301">
            <v>2460</v>
          </cell>
        </row>
        <row r="302">
          <cell r="B302" t="str">
            <v>Ⅹ-昌1</v>
          </cell>
          <cell r="C302">
            <v>2480</v>
          </cell>
          <cell r="D302">
            <v>2450</v>
          </cell>
          <cell r="E302">
            <v>2420</v>
          </cell>
          <cell r="F302">
            <v>600</v>
          </cell>
        </row>
        <row r="303">
          <cell r="B303" t="str">
            <v>Ⅹ-昌2</v>
          </cell>
          <cell r="C303">
            <v>2270</v>
          </cell>
          <cell r="D303">
            <v>2240</v>
          </cell>
          <cell r="E303">
            <v>2210</v>
          </cell>
          <cell r="F303">
            <v>540</v>
          </cell>
        </row>
        <row r="304">
          <cell r="B304" t="str">
            <v>Ⅹ-昌3</v>
          </cell>
          <cell r="C304">
            <v>2310</v>
          </cell>
          <cell r="D304">
            <v>2290</v>
          </cell>
          <cell r="E304">
            <v>2270</v>
          </cell>
        </row>
        <row r="305">
          <cell r="B305" t="str">
            <v>Ⅹ-平1</v>
          </cell>
          <cell r="C305">
            <v>2490</v>
          </cell>
          <cell r="D305">
            <v>2470</v>
          </cell>
          <cell r="E305">
            <v>2440</v>
          </cell>
          <cell r="F305">
            <v>560</v>
          </cell>
        </row>
        <row r="306">
          <cell r="B306" t="str">
            <v>Ⅹ-平2</v>
          </cell>
          <cell r="C306">
            <v>2420</v>
          </cell>
          <cell r="D306">
            <v>2400</v>
          </cell>
          <cell r="E306">
            <v>2380</v>
          </cell>
        </row>
        <row r="307">
          <cell r="B307" t="str">
            <v>Ⅹ-怀1</v>
          </cell>
          <cell r="C307">
            <v>2770</v>
          </cell>
          <cell r="D307">
            <v>2740</v>
          </cell>
          <cell r="E307">
            <v>2710</v>
          </cell>
          <cell r="F307">
            <v>650</v>
          </cell>
        </row>
        <row r="308">
          <cell r="B308" t="str">
            <v>Ⅹ-怀2</v>
          </cell>
          <cell r="C308">
            <v>2610</v>
          </cell>
          <cell r="D308">
            <v>2580</v>
          </cell>
          <cell r="E308">
            <v>2550</v>
          </cell>
          <cell r="F308">
            <v>580</v>
          </cell>
        </row>
        <row r="309">
          <cell r="B309" t="str">
            <v>Ⅹ-怀3</v>
          </cell>
          <cell r="C309">
            <v>2690</v>
          </cell>
          <cell r="D309">
            <v>2670</v>
          </cell>
          <cell r="E309">
            <v>2650</v>
          </cell>
        </row>
        <row r="310">
          <cell r="B310" t="str">
            <v>Ⅹ-密1</v>
          </cell>
          <cell r="C310">
            <v>2360</v>
          </cell>
          <cell r="D310">
            <v>2330</v>
          </cell>
          <cell r="E310">
            <v>2310</v>
          </cell>
          <cell r="F310">
            <v>560</v>
          </cell>
        </row>
        <row r="311">
          <cell r="B311" t="str">
            <v>Ⅹ-延1</v>
          </cell>
          <cell r="C311">
            <v>1970</v>
          </cell>
          <cell r="D311">
            <v>1950</v>
          </cell>
          <cell r="E311">
            <v>1920</v>
          </cell>
          <cell r="F311">
            <v>470</v>
          </cell>
        </row>
        <row r="312">
          <cell r="B312" t="str">
            <v>Ⅹ-延2</v>
          </cell>
          <cell r="C312">
            <v>2230</v>
          </cell>
          <cell r="D312">
            <v>2200</v>
          </cell>
          <cell r="E312">
            <v>2170</v>
          </cell>
          <cell r="F312">
            <v>460</v>
          </cell>
        </row>
        <row r="313">
          <cell r="B313" t="str">
            <v>Ⅹ-亦1</v>
          </cell>
          <cell r="C313">
            <v>2770</v>
          </cell>
          <cell r="D313">
            <v>2740</v>
          </cell>
          <cell r="E313">
            <v>2710</v>
          </cell>
          <cell r="F313">
            <v>610</v>
          </cell>
        </row>
        <row r="314">
          <cell r="B314" t="str">
            <v>Ⅹ-马坊工业园</v>
          </cell>
          <cell r="F314">
            <v>490</v>
          </cell>
        </row>
        <row r="315">
          <cell r="B315" t="str">
            <v>Ⅹ-延庆开发区</v>
          </cell>
          <cell r="F315">
            <v>520</v>
          </cell>
        </row>
        <row r="316">
          <cell r="B316" t="str">
            <v>Ⅹ-八达岭开发区</v>
          </cell>
          <cell r="F316">
            <v>460</v>
          </cell>
        </row>
        <row r="317">
          <cell r="B317" t="str">
            <v>Ⅺ-门1</v>
          </cell>
          <cell r="C317">
            <v>1200</v>
          </cell>
          <cell r="D317">
            <v>1180</v>
          </cell>
          <cell r="E317">
            <v>1160</v>
          </cell>
          <cell r="F317">
            <v>370</v>
          </cell>
        </row>
        <row r="318">
          <cell r="B318" t="str">
            <v>Ⅺ-门斋</v>
          </cell>
          <cell r="C318">
            <v>1090</v>
          </cell>
          <cell r="D318">
            <v>1060</v>
          </cell>
          <cell r="E318">
            <v>1040</v>
          </cell>
        </row>
        <row r="319">
          <cell r="B319" t="str">
            <v>Ⅺ-房1</v>
          </cell>
          <cell r="C319">
            <v>1520</v>
          </cell>
          <cell r="D319">
            <v>1470</v>
          </cell>
          <cell r="E319">
            <v>1440</v>
          </cell>
          <cell r="F319">
            <v>370</v>
          </cell>
        </row>
        <row r="320">
          <cell r="B320" t="str">
            <v>Ⅺ-房2</v>
          </cell>
          <cell r="C320">
            <v>1360</v>
          </cell>
          <cell r="D320">
            <v>1300</v>
          </cell>
          <cell r="E320">
            <v>1270</v>
          </cell>
        </row>
        <row r="321">
          <cell r="B321" t="str">
            <v>Ⅺ-通1</v>
          </cell>
          <cell r="C321">
            <v>1750</v>
          </cell>
          <cell r="D321">
            <v>1690</v>
          </cell>
          <cell r="E321">
            <v>1660</v>
          </cell>
        </row>
        <row r="322">
          <cell r="B322" t="str">
            <v>Ⅺ-顺1</v>
          </cell>
          <cell r="C322">
            <v>1650</v>
          </cell>
          <cell r="D322">
            <v>1610</v>
          </cell>
          <cell r="E322">
            <v>1580</v>
          </cell>
          <cell r="F322">
            <v>500</v>
          </cell>
        </row>
        <row r="323">
          <cell r="B323" t="str">
            <v>Ⅺ-兴1</v>
          </cell>
          <cell r="C323">
            <v>1780</v>
          </cell>
          <cell r="D323">
            <v>1740</v>
          </cell>
          <cell r="E323">
            <v>1720</v>
          </cell>
        </row>
        <row r="324">
          <cell r="B324" t="str">
            <v>Ⅺ-兴2</v>
          </cell>
          <cell r="C324">
            <v>1650</v>
          </cell>
          <cell r="D324">
            <v>1610</v>
          </cell>
          <cell r="E324">
            <v>1580</v>
          </cell>
        </row>
        <row r="325">
          <cell r="B325" t="str">
            <v>Ⅺ-昌1</v>
          </cell>
          <cell r="C325">
            <v>1330</v>
          </cell>
          <cell r="D325">
            <v>1270</v>
          </cell>
          <cell r="E325">
            <v>1240</v>
          </cell>
          <cell r="F325">
            <v>430</v>
          </cell>
        </row>
        <row r="326">
          <cell r="B326" t="str">
            <v>Ⅺ-昌2</v>
          </cell>
          <cell r="C326">
            <v>1470</v>
          </cell>
          <cell r="D326">
            <v>1430</v>
          </cell>
          <cell r="E326">
            <v>1400</v>
          </cell>
        </row>
        <row r="327">
          <cell r="B327" t="str">
            <v>Ⅺ-平1</v>
          </cell>
          <cell r="C327">
            <v>1420</v>
          </cell>
          <cell r="D327">
            <v>1380</v>
          </cell>
          <cell r="E327">
            <v>1360</v>
          </cell>
          <cell r="F327">
            <v>420</v>
          </cell>
        </row>
        <row r="328">
          <cell r="B328" t="str">
            <v>Ⅺ-平2</v>
          </cell>
          <cell r="C328">
            <v>1400</v>
          </cell>
          <cell r="D328">
            <v>1360</v>
          </cell>
          <cell r="E328">
            <v>1330</v>
          </cell>
          <cell r="F328">
            <v>460</v>
          </cell>
        </row>
        <row r="329">
          <cell r="B329" t="str">
            <v>Ⅺ-平3</v>
          </cell>
          <cell r="C329">
            <v>1640</v>
          </cell>
          <cell r="D329">
            <v>1610</v>
          </cell>
          <cell r="E329">
            <v>1580</v>
          </cell>
          <cell r="F329">
            <v>410</v>
          </cell>
        </row>
        <row r="330">
          <cell r="B330" t="str">
            <v>Ⅺ-平4</v>
          </cell>
          <cell r="C330">
            <v>1260</v>
          </cell>
          <cell r="D330">
            <v>1220</v>
          </cell>
          <cell r="E330">
            <v>1200</v>
          </cell>
        </row>
        <row r="331">
          <cell r="B331" t="str">
            <v>Ⅺ-怀1</v>
          </cell>
          <cell r="C331">
            <v>1620</v>
          </cell>
          <cell r="D331">
            <v>1560</v>
          </cell>
          <cell r="E331">
            <v>1530</v>
          </cell>
          <cell r="F331">
            <v>490</v>
          </cell>
        </row>
        <row r="332">
          <cell r="B332" t="str">
            <v>Ⅺ-怀2</v>
          </cell>
          <cell r="C332">
            <v>1520</v>
          </cell>
          <cell r="D332">
            <v>1470</v>
          </cell>
          <cell r="E332">
            <v>1440</v>
          </cell>
          <cell r="F332">
            <v>440</v>
          </cell>
        </row>
        <row r="333">
          <cell r="B333" t="str">
            <v>Ⅺ-密1</v>
          </cell>
          <cell r="C333">
            <v>1370</v>
          </cell>
          <cell r="D333">
            <v>1320</v>
          </cell>
          <cell r="E333">
            <v>1300</v>
          </cell>
          <cell r="F333">
            <v>460</v>
          </cell>
        </row>
        <row r="334">
          <cell r="B334" t="str">
            <v>Ⅺ-密2</v>
          </cell>
          <cell r="C334">
            <v>1410</v>
          </cell>
          <cell r="D334">
            <v>1340</v>
          </cell>
          <cell r="E334">
            <v>1310</v>
          </cell>
          <cell r="F334">
            <v>410</v>
          </cell>
        </row>
        <row r="335">
          <cell r="B335" t="str">
            <v>Ⅺ-密3</v>
          </cell>
          <cell r="C335">
            <v>1260</v>
          </cell>
          <cell r="D335">
            <v>1220</v>
          </cell>
          <cell r="E335">
            <v>1200</v>
          </cell>
        </row>
        <row r="336">
          <cell r="B336" t="str">
            <v>Ⅺ-延1</v>
          </cell>
          <cell r="C336">
            <v>1160</v>
          </cell>
          <cell r="D336">
            <v>1140</v>
          </cell>
          <cell r="E336">
            <v>1120</v>
          </cell>
          <cell r="F336">
            <v>430</v>
          </cell>
        </row>
        <row r="337">
          <cell r="B337" t="str">
            <v>Ⅺ-延2</v>
          </cell>
          <cell r="F337">
            <v>380</v>
          </cell>
        </row>
        <row r="338">
          <cell r="B338" t="str">
            <v>Ⅻ-门1</v>
          </cell>
          <cell r="C338">
            <v>880</v>
          </cell>
          <cell r="D338">
            <v>850</v>
          </cell>
          <cell r="E338">
            <v>830</v>
          </cell>
        </row>
        <row r="339">
          <cell r="B339" t="str">
            <v>Ⅻ-房1</v>
          </cell>
          <cell r="C339">
            <v>830</v>
          </cell>
          <cell r="D339">
            <v>800</v>
          </cell>
          <cell r="E339">
            <v>780</v>
          </cell>
        </row>
        <row r="340">
          <cell r="B340" t="str">
            <v>Ⅻ-昌1</v>
          </cell>
          <cell r="C340">
            <v>980</v>
          </cell>
          <cell r="D340">
            <v>950</v>
          </cell>
          <cell r="E340">
            <v>920</v>
          </cell>
        </row>
        <row r="341">
          <cell r="B341" t="str">
            <v>Ⅻ-平1</v>
          </cell>
          <cell r="C341">
            <v>760</v>
          </cell>
          <cell r="D341">
            <v>720</v>
          </cell>
          <cell r="E341">
            <v>690</v>
          </cell>
          <cell r="F341">
            <v>350</v>
          </cell>
        </row>
        <row r="342">
          <cell r="B342" t="str">
            <v>Ⅻ-怀1</v>
          </cell>
          <cell r="C342">
            <v>910</v>
          </cell>
          <cell r="D342">
            <v>870</v>
          </cell>
          <cell r="E342">
            <v>850</v>
          </cell>
          <cell r="F342">
            <v>370</v>
          </cell>
        </row>
        <row r="343">
          <cell r="B343" t="str">
            <v>Ⅻ-密1</v>
          </cell>
          <cell r="C343">
            <v>800</v>
          </cell>
          <cell r="D343">
            <v>760</v>
          </cell>
          <cell r="E343">
            <v>730</v>
          </cell>
          <cell r="F343">
            <v>340</v>
          </cell>
        </row>
        <row r="344">
          <cell r="B344" t="str">
            <v>Ⅻ-延1</v>
          </cell>
          <cell r="C344">
            <v>720</v>
          </cell>
          <cell r="D344">
            <v>690</v>
          </cell>
          <cell r="E344">
            <v>660</v>
          </cell>
          <cell r="F344">
            <v>300</v>
          </cell>
        </row>
      </sheetData>
      <sheetData sheetId="40">
        <row r="3">
          <cell r="C3" t="str">
            <v>商业</v>
          </cell>
          <cell r="D3" t="str">
            <v>办公</v>
          </cell>
          <cell r="E3" t="str">
            <v>住宅</v>
          </cell>
          <cell r="F3" t="str">
            <v>工业</v>
          </cell>
        </row>
        <row r="5">
          <cell r="B5" t="str">
            <v>Ⅰ—01</v>
          </cell>
          <cell r="C5">
            <v>8.8999999999999996E-2</v>
          </cell>
          <cell r="D5">
            <v>7.3999999999999996E-2</v>
          </cell>
          <cell r="E5">
            <v>7.4999999999999997E-2</v>
          </cell>
          <cell r="F5">
            <v>0.1</v>
          </cell>
        </row>
        <row r="6">
          <cell r="B6" t="str">
            <v>Ⅰ—02</v>
          </cell>
          <cell r="C6">
            <v>0.1</v>
          </cell>
          <cell r="D6">
            <v>9.0999999999999998E-2</v>
          </cell>
          <cell r="E6">
            <v>9.0999999999999998E-2</v>
          </cell>
          <cell r="F6">
            <v>0.1</v>
          </cell>
        </row>
        <row r="7">
          <cell r="B7" t="str">
            <v>Ⅰ—03</v>
          </cell>
          <cell r="C7">
            <v>8.5999999999999993E-2</v>
          </cell>
          <cell r="D7">
            <v>9.6000000000000002E-2</v>
          </cell>
          <cell r="E7">
            <v>7.5999999999999998E-2</v>
          </cell>
          <cell r="F7">
            <v>0.1</v>
          </cell>
        </row>
        <row r="8">
          <cell r="B8" t="str">
            <v>Ⅰ—04</v>
          </cell>
          <cell r="C8">
            <v>9.9000000000000005E-2</v>
          </cell>
          <cell r="D8">
            <v>9.8000000000000004E-2</v>
          </cell>
          <cell r="E8">
            <v>9.8000000000000004E-2</v>
          </cell>
          <cell r="F8">
            <v>0.1</v>
          </cell>
        </row>
        <row r="9">
          <cell r="B9" t="str">
            <v>Ⅰ—05</v>
          </cell>
          <cell r="C9">
            <v>0.05</v>
          </cell>
        </row>
        <row r="10">
          <cell r="B10" t="str">
            <v>Ⅱ—01</v>
          </cell>
          <cell r="C10">
            <v>8.8999999999999996E-2</v>
          </cell>
          <cell r="D10">
            <v>7.2999999999999995E-2</v>
          </cell>
          <cell r="E10">
            <v>8.2000000000000003E-2</v>
          </cell>
          <cell r="F10">
            <v>0.1</v>
          </cell>
        </row>
        <row r="11">
          <cell r="B11" t="str">
            <v>Ⅱ—02</v>
          </cell>
          <cell r="C11">
            <v>8.8999999999999996E-2</v>
          </cell>
          <cell r="D11">
            <v>7.2999999999999995E-2</v>
          </cell>
          <cell r="E11">
            <v>8.2000000000000003E-2</v>
          </cell>
          <cell r="F11">
            <v>0.1</v>
          </cell>
        </row>
        <row r="12">
          <cell r="B12" t="str">
            <v>Ⅱ—03</v>
          </cell>
          <cell r="C12">
            <v>6.0999999999999999E-2</v>
          </cell>
          <cell r="D12">
            <v>7.0999999999999994E-2</v>
          </cell>
          <cell r="E12">
            <v>9.6000000000000002E-2</v>
          </cell>
          <cell r="F12">
            <v>0.1</v>
          </cell>
        </row>
        <row r="13">
          <cell r="B13" t="str">
            <v>Ⅱ—04</v>
          </cell>
          <cell r="C13">
            <v>6.9000000000000006E-2</v>
          </cell>
          <cell r="D13">
            <v>6.5000000000000002E-2</v>
          </cell>
          <cell r="E13">
            <v>6.6000000000000003E-2</v>
          </cell>
          <cell r="F13">
            <v>0.1</v>
          </cell>
        </row>
        <row r="14">
          <cell r="B14" t="str">
            <v>Ⅱ—05</v>
          </cell>
          <cell r="C14">
            <v>0.1</v>
          </cell>
          <cell r="D14">
            <v>6.5000000000000002E-2</v>
          </cell>
          <cell r="E14">
            <v>7.0000000000000007E-2</v>
          </cell>
          <cell r="F14">
            <v>0.1</v>
          </cell>
        </row>
        <row r="15">
          <cell r="B15" t="str">
            <v>Ⅱ—06</v>
          </cell>
          <cell r="C15">
            <v>9.8000000000000004E-2</v>
          </cell>
          <cell r="D15">
            <v>8.8999999999999996E-2</v>
          </cell>
          <cell r="E15">
            <v>8.8999999999999996E-2</v>
          </cell>
          <cell r="F15">
            <v>0.1</v>
          </cell>
        </row>
        <row r="16">
          <cell r="B16" t="str">
            <v>Ⅱ—07</v>
          </cell>
          <cell r="C16">
            <v>7.0000000000000007E-2</v>
          </cell>
          <cell r="D16">
            <v>9.2999999999999999E-2</v>
          </cell>
          <cell r="E16">
            <v>9.6000000000000002E-2</v>
          </cell>
          <cell r="F16">
            <v>0.1</v>
          </cell>
        </row>
        <row r="17">
          <cell r="B17" t="str">
            <v>Ⅱ—08</v>
          </cell>
          <cell r="C17">
            <v>9.5000000000000001E-2</v>
          </cell>
          <cell r="D17">
            <v>0.1</v>
          </cell>
          <cell r="E17">
            <v>0.1</v>
          </cell>
        </row>
        <row r="18">
          <cell r="B18" t="str">
            <v>Ⅱ—09</v>
          </cell>
          <cell r="C18">
            <v>7.3999999999999996E-2</v>
          </cell>
          <cell r="D18">
            <v>9.9000000000000005E-2</v>
          </cell>
          <cell r="E18">
            <v>0.1</v>
          </cell>
        </row>
        <row r="19">
          <cell r="B19" t="str">
            <v>Ⅱ—10</v>
          </cell>
          <cell r="C19">
            <v>9.9000000000000005E-2</v>
          </cell>
          <cell r="D19">
            <v>7.5999999999999998E-2</v>
          </cell>
          <cell r="E19">
            <v>8.6999999999999994E-2</v>
          </cell>
        </row>
        <row r="20">
          <cell r="B20" t="str">
            <v>Ⅱ—11</v>
          </cell>
          <cell r="C20">
            <v>9.8000000000000004E-2</v>
          </cell>
          <cell r="D20">
            <v>8.5000000000000006E-2</v>
          </cell>
          <cell r="E20">
            <v>8.2000000000000003E-2</v>
          </cell>
        </row>
        <row r="21">
          <cell r="B21" t="str">
            <v>Ⅱ—12</v>
          </cell>
          <cell r="C21">
            <v>6.6000000000000003E-2</v>
          </cell>
          <cell r="D21">
            <v>6.4000000000000001E-2</v>
          </cell>
          <cell r="E21">
            <v>6.5000000000000002E-2</v>
          </cell>
        </row>
        <row r="22">
          <cell r="B22" t="str">
            <v>Ⅱ—13</v>
          </cell>
          <cell r="C22">
            <v>0.08</v>
          </cell>
          <cell r="D22">
            <v>9.8000000000000004E-2</v>
          </cell>
          <cell r="E22">
            <v>9.8000000000000004E-2</v>
          </cell>
        </row>
        <row r="23">
          <cell r="B23" t="str">
            <v>Ⅱ—14</v>
          </cell>
          <cell r="C23">
            <v>9.9000000000000005E-2</v>
          </cell>
          <cell r="D23">
            <v>9.8000000000000004E-2</v>
          </cell>
          <cell r="E23">
            <v>9.0999999999999998E-2</v>
          </cell>
        </row>
        <row r="24">
          <cell r="B24" t="str">
            <v>Ⅱ—15</v>
          </cell>
          <cell r="C24">
            <v>8.8999999999999996E-2</v>
          </cell>
          <cell r="D24">
            <v>9.7000000000000003E-2</v>
          </cell>
          <cell r="E24">
            <v>7.0000000000000007E-2</v>
          </cell>
        </row>
        <row r="25">
          <cell r="B25" t="str">
            <v>Ⅱ—16</v>
          </cell>
          <cell r="C25">
            <v>8.8999999999999996E-2</v>
          </cell>
          <cell r="D25">
            <v>0.1</v>
          </cell>
          <cell r="E25">
            <v>8.1000000000000003E-2</v>
          </cell>
        </row>
        <row r="26">
          <cell r="B26" t="str">
            <v>Ⅱ—17</v>
          </cell>
          <cell r="D26">
            <v>9.6000000000000002E-2</v>
          </cell>
          <cell r="E26">
            <v>9.2999999999999999E-2</v>
          </cell>
        </row>
        <row r="27">
          <cell r="B27" t="str">
            <v>Ⅱ—18</v>
          </cell>
          <cell r="D27">
            <v>7.5999999999999998E-2</v>
          </cell>
          <cell r="E27">
            <v>9.1999999999999998E-2</v>
          </cell>
        </row>
        <row r="28">
          <cell r="B28" t="str">
            <v>Ⅱ—19</v>
          </cell>
          <cell r="D28">
            <v>7.5999999999999998E-2</v>
          </cell>
          <cell r="E28">
            <v>9.1999999999999998E-2</v>
          </cell>
        </row>
        <row r="29">
          <cell r="B29" t="str">
            <v>Ⅲ—01</v>
          </cell>
          <cell r="C29">
            <v>6.4000000000000001E-2</v>
          </cell>
          <cell r="D29">
            <v>6.5000000000000002E-2</v>
          </cell>
          <cell r="E29">
            <v>6.9000000000000006E-2</v>
          </cell>
          <cell r="F29">
            <v>0.1</v>
          </cell>
        </row>
        <row r="30">
          <cell r="B30" t="str">
            <v>Ⅲ—02</v>
          </cell>
          <cell r="C30">
            <v>6.4000000000000001E-2</v>
          </cell>
          <cell r="D30">
            <v>9.9000000000000005E-2</v>
          </cell>
          <cell r="E30">
            <v>0.1</v>
          </cell>
          <cell r="F30">
            <v>0.1</v>
          </cell>
        </row>
        <row r="31">
          <cell r="B31" t="str">
            <v>Ⅲ—03</v>
          </cell>
          <cell r="C31">
            <v>0.1</v>
          </cell>
          <cell r="D31">
            <v>9.5000000000000001E-2</v>
          </cell>
          <cell r="E31">
            <v>8.8999999999999996E-2</v>
          </cell>
          <cell r="F31">
            <v>0.1</v>
          </cell>
        </row>
        <row r="32">
          <cell r="B32" t="str">
            <v>Ⅲ—04</v>
          </cell>
          <cell r="C32">
            <v>0.05</v>
          </cell>
          <cell r="D32">
            <v>0.05</v>
          </cell>
          <cell r="E32">
            <v>8.7999999999999995E-2</v>
          </cell>
          <cell r="F32">
            <v>0.1</v>
          </cell>
        </row>
        <row r="33">
          <cell r="B33" t="str">
            <v>Ⅲ—05</v>
          </cell>
          <cell r="C33">
            <v>7.4999999999999997E-2</v>
          </cell>
          <cell r="D33">
            <v>9.4E-2</v>
          </cell>
          <cell r="E33">
            <v>9.7000000000000003E-2</v>
          </cell>
          <cell r="F33">
            <v>0.1</v>
          </cell>
        </row>
        <row r="34">
          <cell r="B34" t="str">
            <v>Ⅲ—06</v>
          </cell>
          <cell r="C34">
            <v>9.8000000000000004E-2</v>
          </cell>
          <cell r="D34">
            <v>8.5999999999999993E-2</v>
          </cell>
          <cell r="E34">
            <v>9.7000000000000003E-2</v>
          </cell>
          <cell r="F34">
            <v>0.1</v>
          </cell>
        </row>
        <row r="35">
          <cell r="B35" t="str">
            <v>Ⅲ—07</v>
          </cell>
          <cell r="C35">
            <v>5.8999999999999997E-2</v>
          </cell>
          <cell r="D35">
            <v>6.5000000000000002E-2</v>
          </cell>
          <cell r="E35">
            <v>7.0000000000000007E-2</v>
          </cell>
          <cell r="F35">
            <v>0.1</v>
          </cell>
        </row>
        <row r="36">
          <cell r="B36" t="str">
            <v>Ⅲ—08</v>
          </cell>
          <cell r="C36">
            <v>6.3E-2</v>
          </cell>
          <cell r="D36">
            <v>0.1</v>
          </cell>
          <cell r="E36">
            <v>0.1</v>
          </cell>
          <cell r="F36">
            <v>0.1</v>
          </cell>
        </row>
        <row r="37">
          <cell r="B37" t="str">
            <v>Ⅲ—09</v>
          </cell>
          <cell r="C37">
            <v>7.3999999999999996E-2</v>
          </cell>
          <cell r="D37">
            <v>0.1</v>
          </cell>
          <cell r="E37">
            <v>0.1</v>
          </cell>
          <cell r="F37">
            <v>0.1</v>
          </cell>
        </row>
        <row r="38">
          <cell r="B38" t="str">
            <v>Ⅲ—10</v>
          </cell>
          <cell r="C38">
            <v>0.1</v>
          </cell>
          <cell r="D38">
            <v>9.6000000000000002E-2</v>
          </cell>
          <cell r="E38">
            <v>9.6000000000000002E-2</v>
          </cell>
        </row>
        <row r="39">
          <cell r="B39" t="str">
            <v>Ⅲ—11</v>
          </cell>
          <cell r="C39">
            <v>0.1</v>
          </cell>
          <cell r="D39">
            <v>9.6000000000000002E-2</v>
          </cell>
          <cell r="E39">
            <v>9.6000000000000002E-2</v>
          </cell>
        </row>
        <row r="40">
          <cell r="B40" t="str">
            <v>Ⅲ—12</v>
          </cell>
          <cell r="C40">
            <v>9.6000000000000002E-2</v>
          </cell>
          <cell r="D40">
            <v>0.1</v>
          </cell>
          <cell r="E40">
            <v>9.9000000000000005E-2</v>
          </cell>
        </row>
        <row r="41">
          <cell r="B41" t="str">
            <v>Ⅲ—13</v>
          </cell>
          <cell r="C41">
            <v>9.6000000000000002E-2</v>
          </cell>
          <cell r="D41">
            <v>9.8000000000000004E-2</v>
          </cell>
          <cell r="E41">
            <v>9.8000000000000004E-2</v>
          </cell>
        </row>
        <row r="42">
          <cell r="B42" t="str">
            <v>Ⅲ—14</v>
          </cell>
          <cell r="C42">
            <v>0.1</v>
          </cell>
          <cell r="D42">
            <v>8.7999999999999995E-2</v>
          </cell>
          <cell r="E42">
            <v>0.1</v>
          </cell>
        </row>
        <row r="43">
          <cell r="B43" t="str">
            <v>Ⅲ—15</v>
          </cell>
          <cell r="C43">
            <v>9.8000000000000004E-2</v>
          </cell>
          <cell r="D43">
            <v>9.7000000000000003E-2</v>
          </cell>
          <cell r="E43">
            <v>9.6000000000000002E-2</v>
          </cell>
        </row>
        <row r="44">
          <cell r="B44" t="str">
            <v>Ⅲ—16</v>
          </cell>
          <cell r="C44">
            <v>8.5999999999999993E-2</v>
          </cell>
          <cell r="D44">
            <v>7.9000000000000001E-2</v>
          </cell>
          <cell r="E44">
            <v>7.0999999999999994E-2</v>
          </cell>
        </row>
        <row r="45">
          <cell r="B45" t="str">
            <v>Ⅲ—17</v>
          </cell>
          <cell r="C45">
            <v>9.8000000000000004E-2</v>
          </cell>
          <cell r="D45">
            <v>9.6000000000000002E-2</v>
          </cell>
          <cell r="E45">
            <v>9.6000000000000002E-2</v>
          </cell>
        </row>
        <row r="46">
          <cell r="B46" t="str">
            <v>Ⅲ—18</v>
          </cell>
          <cell r="C46">
            <v>8.5999999999999993E-2</v>
          </cell>
          <cell r="D46">
            <v>9.8000000000000004E-2</v>
          </cell>
          <cell r="E46">
            <v>8.7999999999999995E-2</v>
          </cell>
        </row>
        <row r="47">
          <cell r="B47" t="str">
            <v>Ⅲ—19</v>
          </cell>
          <cell r="C47">
            <v>9.6000000000000002E-2</v>
          </cell>
          <cell r="E47">
            <v>6.9000000000000006E-2</v>
          </cell>
        </row>
        <row r="48">
          <cell r="B48" t="str">
            <v>Ⅲ—20</v>
          </cell>
          <cell r="C48">
            <v>9.8000000000000004E-2</v>
          </cell>
          <cell r="E48">
            <v>9.5000000000000001E-2</v>
          </cell>
        </row>
        <row r="49">
          <cell r="B49" t="str">
            <v>Ⅳ-01</v>
          </cell>
          <cell r="C49">
            <v>9.7000000000000003E-2</v>
          </cell>
          <cell r="D49">
            <v>9.5000000000000001E-2</v>
          </cell>
          <cell r="E49">
            <v>9.7000000000000003E-2</v>
          </cell>
          <cell r="F49">
            <v>0.1</v>
          </cell>
        </row>
        <row r="50">
          <cell r="B50" t="str">
            <v>Ⅳ-02</v>
          </cell>
          <cell r="C50">
            <v>7.4999999999999997E-2</v>
          </cell>
          <cell r="D50">
            <v>9.5000000000000001E-2</v>
          </cell>
          <cell r="E50">
            <v>0.1</v>
          </cell>
          <cell r="F50">
            <v>0.1</v>
          </cell>
        </row>
        <row r="51">
          <cell r="B51" t="str">
            <v>Ⅳ-03</v>
          </cell>
          <cell r="C51">
            <v>9.8000000000000004E-2</v>
          </cell>
          <cell r="D51">
            <v>8.8999999999999996E-2</v>
          </cell>
          <cell r="E51">
            <v>0.1</v>
          </cell>
          <cell r="F51">
            <v>0.1</v>
          </cell>
        </row>
        <row r="52">
          <cell r="B52" t="str">
            <v>Ⅳ-04</v>
          </cell>
          <cell r="C52">
            <v>9.8000000000000004E-2</v>
          </cell>
          <cell r="D52">
            <v>9.7000000000000003E-2</v>
          </cell>
          <cell r="E52">
            <v>8.1000000000000003E-2</v>
          </cell>
          <cell r="F52">
            <v>0.1</v>
          </cell>
        </row>
        <row r="53">
          <cell r="B53" t="str">
            <v>Ⅳ-05</v>
          </cell>
          <cell r="C53">
            <v>9.7000000000000003E-2</v>
          </cell>
          <cell r="D53">
            <v>7.5999999999999998E-2</v>
          </cell>
          <cell r="E53">
            <v>7.0999999999999994E-2</v>
          </cell>
          <cell r="F53">
            <v>0.1</v>
          </cell>
        </row>
        <row r="54">
          <cell r="B54" t="str">
            <v>Ⅳ-06</v>
          </cell>
          <cell r="C54">
            <v>7.5999999999999998E-2</v>
          </cell>
          <cell r="D54">
            <v>0.1</v>
          </cell>
          <cell r="E54">
            <v>9.9000000000000005E-2</v>
          </cell>
          <cell r="F54">
            <v>0.1</v>
          </cell>
        </row>
        <row r="55">
          <cell r="B55" t="str">
            <v>Ⅳ-07</v>
          </cell>
          <cell r="C55">
            <v>0.1</v>
          </cell>
          <cell r="D55">
            <v>0.1</v>
          </cell>
          <cell r="E55">
            <v>9.6000000000000002E-2</v>
          </cell>
          <cell r="F55">
            <v>0.1</v>
          </cell>
        </row>
        <row r="56">
          <cell r="B56" t="str">
            <v>Ⅳ-08</v>
          </cell>
          <cell r="C56">
            <v>0.1</v>
          </cell>
          <cell r="D56">
            <v>9.6000000000000002E-2</v>
          </cell>
          <cell r="E56">
            <v>5.1999999999999998E-2</v>
          </cell>
          <cell r="F56">
            <v>0.1</v>
          </cell>
        </row>
        <row r="57">
          <cell r="B57" t="str">
            <v>Ⅳ-09</v>
          </cell>
          <cell r="C57">
            <v>9.7000000000000003E-2</v>
          </cell>
          <cell r="D57">
            <v>9.6000000000000002E-2</v>
          </cell>
          <cell r="E57">
            <v>9.6000000000000002E-2</v>
          </cell>
          <cell r="F57">
            <v>0.1</v>
          </cell>
        </row>
        <row r="58">
          <cell r="B58" t="str">
            <v>Ⅳ-10</v>
          </cell>
          <cell r="C58">
            <v>9.6000000000000002E-2</v>
          </cell>
          <cell r="D58">
            <v>9.9000000000000005E-2</v>
          </cell>
          <cell r="E58">
            <v>9.6000000000000002E-2</v>
          </cell>
          <cell r="F58">
            <v>0.1</v>
          </cell>
        </row>
        <row r="59">
          <cell r="B59" t="str">
            <v>Ⅳ-11</v>
          </cell>
          <cell r="C59">
            <v>7.1999999999999995E-2</v>
          </cell>
          <cell r="D59">
            <v>9.6000000000000002E-2</v>
          </cell>
          <cell r="E59">
            <v>7.0999999999999994E-2</v>
          </cell>
          <cell r="F59">
            <v>0.1</v>
          </cell>
        </row>
        <row r="60">
          <cell r="B60" t="str">
            <v>Ⅳ-12</v>
          </cell>
          <cell r="C60">
            <v>9.6000000000000002E-2</v>
          </cell>
          <cell r="D60">
            <v>8.8999999999999996E-2</v>
          </cell>
          <cell r="E60">
            <v>9.6000000000000002E-2</v>
          </cell>
          <cell r="F60">
            <v>0.1</v>
          </cell>
        </row>
        <row r="61">
          <cell r="B61" t="str">
            <v>Ⅳ-13</v>
          </cell>
          <cell r="C61">
            <v>8.8999999999999996E-2</v>
          </cell>
          <cell r="D61">
            <v>9.8000000000000004E-2</v>
          </cell>
          <cell r="E61">
            <v>8.7999999999999995E-2</v>
          </cell>
        </row>
        <row r="62">
          <cell r="B62" t="str">
            <v>Ⅳ-14</v>
          </cell>
          <cell r="C62">
            <v>9.8000000000000004E-2</v>
          </cell>
          <cell r="D62">
            <v>9.2999999999999999E-2</v>
          </cell>
          <cell r="E62">
            <v>9.7000000000000003E-2</v>
          </cell>
        </row>
        <row r="63">
          <cell r="B63" t="str">
            <v>Ⅳ-15</v>
          </cell>
          <cell r="C63">
            <v>9.6000000000000002E-2</v>
          </cell>
          <cell r="D63">
            <v>9.8000000000000004E-2</v>
          </cell>
          <cell r="E63">
            <v>0.09</v>
          </cell>
        </row>
        <row r="64">
          <cell r="B64" t="str">
            <v>Ⅳ-16</v>
          </cell>
          <cell r="C64">
            <v>9.9000000000000005E-2</v>
          </cell>
          <cell r="D64">
            <v>9.7000000000000003E-2</v>
          </cell>
          <cell r="E64">
            <v>9.9000000000000005E-2</v>
          </cell>
        </row>
        <row r="65">
          <cell r="B65" t="str">
            <v>Ⅳ-17</v>
          </cell>
          <cell r="C65">
            <v>9.8000000000000004E-2</v>
          </cell>
          <cell r="D65">
            <v>9.6000000000000002E-2</v>
          </cell>
          <cell r="E65">
            <v>9.6000000000000002E-2</v>
          </cell>
        </row>
        <row r="66">
          <cell r="B66" t="str">
            <v>Ⅳ-18</v>
          </cell>
          <cell r="C66">
            <v>9.6000000000000002E-2</v>
          </cell>
          <cell r="D66">
            <v>9.1999999999999998E-2</v>
          </cell>
          <cell r="E66">
            <v>9.6000000000000002E-2</v>
          </cell>
        </row>
        <row r="67">
          <cell r="B67" t="str">
            <v>Ⅳ-19</v>
          </cell>
          <cell r="C67">
            <v>9.4E-2</v>
          </cell>
          <cell r="D67">
            <v>0.1</v>
          </cell>
          <cell r="E67">
            <v>8.7999999999999995E-2</v>
          </cell>
        </row>
        <row r="68">
          <cell r="B68" t="str">
            <v>Ⅳ-20</v>
          </cell>
          <cell r="C68">
            <v>0.1</v>
          </cell>
          <cell r="D68">
            <v>8.7999999999999995E-2</v>
          </cell>
          <cell r="E68">
            <v>9.7000000000000003E-2</v>
          </cell>
        </row>
        <row r="69">
          <cell r="B69" t="str">
            <v>Ⅳ-21</v>
          </cell>
          <cell r="C69">
            <v>6.4000000000000001E-2</v>
          </cell>
          <cell r="D69">
            <v>0.1</v>
          </cell>
          <cell r="E69">
            <v>0.1</v>
          </cell>
        </row>
        <row r="70">
          <cell r="B70" t="str">
            <v>Ⅳ-22</v>
          </cell>
          <cell r="C70">
            <v>9.0999999999999998E-2</v>
          </cell>
        </row>
        <row r="71">
          <cell r="B71" t="str">
            <v>Ⅳ-23</v>
          </cell>
          <cell r="C71">
            <v>0.1</v>
          </cell>
        </row>
        <row r="72">
          <cell r="B72" t="str">
            <v>Ⅳ-电子城东</v>
          </cell>
          <cell r="F72">
            <v>0.05</v>
          </cell>
        </row>
        <row r="73">
          <cell r="B73" t="str">
            <v>Ⅳ-电子城西</v>
          </cell>
          <cell r="F73">
            <v>0.05</v>
          </cell>
        </row>
        <row r="74">
          <cell r="B74" t="str">
            <v>Ⅳ-上地核心</v>
          </cell>
          <cell r="F74">
            <v>0.05</v>
          </cell>
        </row>
        <row r="75">
          <cell r="B75" t="str">
            <v>Ⅳ-丰台园东</v>
          </cell>
          <cell r="F75">
            <v>0.05</v>
          </cell>
        </row>
        <row r="76">
          <cell r="B76" t="str">
            <v>Ⅴ-01</v>
          </cell>
          <cell r="C76">
            <v>0.1</v>
          </cell>
          <cell r="D76">
            <v>0.1</v>
          </cell>
          <cell r="E76">
            <v>0.1</v>
          </cell>
          <cell r="F76">
            <v>0.1</v>
          </cell>
        </row>
        <row r="77">
          <cell r="B77" t="str">
            <v>Ⅴ-02</v>
          </cell>
          <cell r="C77">
            <v>8.7999999999999995E-2</v>
          </cell>
          <cell r="D77">
            <v>8.6999999999999994E-2</v>
          </cell>
          <cell r="E77">
            <v>7.9000000000000001E-2</v>
          </cell>
          <cell r="F77">
            <v>0.1</v>
          </cell>
        </row>
        <row r="78">
          <cell r="B78" t="str">
            <v>Ⅴ-03</v>
          </cell>
          <cell r="C78">
            <v>8.6999999999999994E-2</v>
          </cell>
          <cell r="D78">
            <v>8.4000000000000005E-2</v>
          </cell>
          <cell r="E78">
            <v>9.6000000000000002E-2</v>
          </cell>
          <cell r="F78">
            <v>0.1</v>
          </cell>
        </row>
        <row r="79">
          <cell r="B79" t="str">
            <v>Ⅴ-04</v>
          </cell>
          <cell r="C79">
            <v>9.8000000000000004E-2</v>
          </cell>
          <cell r="D79">
            <v>9.8000000000000004E-2</v>
          </cell>
          <cell r="E79">
            <v>9.0999999999999998E-2</v>
          </cell>
          <cell r="F79">
            <v>0.1</v>
          </cell>
        </row>
        <row r="80">
          <cell r="B80" t="str">
            <v>Ⅴ-05</v>
          </cell>
          <cell r="C80">
            <v>9.6000000000000002E-2</v>
          </cell>
          <cell r="D80">
            <v>9.6000000000000002E-2</v>
          </cell>
          <cell r="E80">
            <v>0.1</v>
          </cell>
          <cell r="F80">
            <v>0.1</v>
          </cell>
        </row>
        <row r="81">
          <cell r="B81" t="str">
            <v>Ⅴ-06</v>
          </cell>
          <cell r="C81">
            <v>9.9000000000000005E-2</v>
          </cell>
          <cell r="D81">
            <v>9.9000000000000005E-2</v>
          </cell>
          <cell r="E81">
            <v>9.8000000000000004E-2</v>
          </cell>
          <cell r="F81">
            <v>0.1</v>
          </cell>
        </row>
        <row r="82">
          <cell r="B82" t="str">
            <v>Ⅴ-07</v>
          </cell>
          <cell r="C82">
            <v>9.9000000000000005E-2</v>
          </cell>
          <cell r="D82">
            <v>9.9000000000000005E-2</v>
          </cell>
          <cell r="E82">
            <v>9.7000000000000003E-2</v>
          </cell>
          <cell r="F82">
            <v>0.1</v>
          </cell>
        </row>
        <row r="83">
          <cell r="B83" t="str">
            <v>Ⅴ-08</v>
          </cell>
          <cell r="C83">
            <v>9.8000000000000004E-2</v>
          </cell>
          <cell r="D83">
            <v>9.8000000000000004E-2</v>
          </cell>
          <cell r="E83">
            <v>9.8000000000000004E-2</v>
          </cell>
          <cell r="F83">
            <v>0.1</v>
          </cell>
        </row>
        <row r="84">
          <cell r="B84" t="str">
            <v>Ⅴ-09</v>
          </cell>
          <cell r="C84">
            <v>9.9000000000000005E-2</v>
          </cell>
          <cell r="D84">
            <v>9.9000000000000005E-2</v>
          </cell>
          <cell r="E84">
            <v>9.9000000000000005E-2</v>
          </cell>
          <cell r="F84">
            <v>0.1</v>
          </cell>
        </row>
        <row r="85">
          <cell r="B85" t="str">
            <v>Ⅴ-10</v>
          </cell>
          <cell r="C85">
            <v>9.9000000000000005E-2</v>
          </cell>
          <cell r="D85">
            <v>9.9000000000000005E-2</v>
          </cell>
          <cell r="E85">
            <v>9.9000000000000005E-2</v>
          </cell>
          <cell r="F85">
            <v>0.1</v>
          </cell>
        </row>
        <row r="86">
          <cell r="B86" t="str">
            <v>Ⅴ-11</v>
          </cell>
          <cell r="C86">
            <v>0.1</v>
          </cell>
          <cell r="D86">
            <v>0.1</v>
          </cell>
          <cell r="E86">
            <v>7.6999999999999999E-2</v>
          </cell>
          <cell r="F86">
            <v>0.1</v>
          </cell>
        </row>
        <row r="87">
          <cell r="B87" t="str">
            <v>Ⅴ-12</v>
          </cell>
          <cell r="C87">
            <v>0.1</v>
          </cell>
          <cell r="D87">
            <v>0.1</v>
          </cell>
          <cell r="E87">
            <v>9.8000000000000004E-2</v>
          </cell>
        </row>
        <row r="88">
          <cell r="B88" t="str">
            <v>Ⅴ-13</v>
          </cell>
          <cell r="C88">
            <v>9.1999999999999998E-2</v>
          </cell>
          <cell r="D88">
            <v>8.5000000000000006E-2</v>
          </cell>
          <cell r="E88">
            <v>9.6000000000000002E-2</v>
          </cell>
        </row>
        <row r="89">
          <cell r="B89" t="str">
            <v>Ⅴ-14</v>
          </cell>
          <cell r="C89">
            <v>0.1</v>
          </cell>
          <cell r="D89">
            <v>0.1</v>
          </cell>
          <cell r="E89">
            <v>9.7000000000000003E-2</v>
          </cell>
        </row>
        <row r="90">
          <cell r="B90" t="str">
            <v>Ⅴ-15</v>
          </cell>
          <cell r="C90">
            <v>9.8000000000000004E-2</v>
          </cell>
          <cell r="D90">
            <v>9.8000000000000004E-2</v>
          </cell>
          <cell r="E90">
            <v>8.7999999999999995E-2</v>
          </cell>
        </row>
        <row r="91">
          <cell r="B91" t="str">
            <v>Ⅴ-16</v>
          </cell>
          <cell r="C91">
            <v>9.9000000000000005E-2</v>
          </cell>
          <cell r="D91">
            <v>9.9000000000000005E-2</v>
          </cell>
          <cell r="E91">
            <v>9.0999999999999998E-2</v>
          </cell>
        </row>
        <row r="92">
          <cell r="B92" t="str">
            <v>Ⅴ-17</v>
          </cell>
          <cell r="C92">
            <v>9.6000000000000002E-2</v>
          </cell>
          <cell r="D92">
            <v>9.6000000000000002E-2</v>
          </cell>
          <cell r="E92">
            <v>7.2999999999999995E-2</v>
          </cell>
        </row>
        <row r="93">
          <cell r="B93" t="str">
            <v>Ⅴ-18</v>
          </cell>
          <cell r="C93">
            <v>9.6000000000000002E-2</v>
          </cell>
          <cell r="D93">
            <v>9.6000000000000002E-2</v>
          </cell>
          <cell r="E93">
            <v>9.9000000000000005E-2</v>
          </cell>
        </row>
        <row r="94">
          <cell r="B94" t="str">
            <v>Ⅴ-19</v>
          </cell>
          <cell r="C94">
            <v>7.5999999999999998E-2</v>
          </cell>
          <cell r="D94">
            <v>7.3999999999999996E-2</v>
          </cell>
          <cell r="E94">
            <v>9.7000000000000003E-2</v>
          </cell>
        </row>
        <row r="95">
          <cell r="B95" t="str">
            <v>Ⅴ-20</v>
          </cell>
          <cell r="C95">
            <v>9.9000000000000005E-2</v>
          </cell>
          <cell r="D95">
            <v>9.4E-2</v>
          </cell>
          <cell r="E95">
            <v>9.6000000000000002E-2</v>
          </cell>
        </row>
        <row r="96">
          <cell r="B96" t="str">
            <v>Ⅴ-21</v>
          </cell>
          <cell r="C96">
            <v>9.9000000000000005E-2</v>
          </cell>
          <cell r="D96">
            <v>9.9000000000000005E-2</v>
          </cell>
          <cell r="E96">
            <v>9.9000000000000005E-2</v>
          </cell>
        </row>
        <row r="97">
          <cell r="B97" t="str">
            <v>Ⅴ-22</v>
          </cell>
          <cell r="C97">
            <v>9.8000000000000004E-2</v>
          </cell>
          <cell r="D97">
            <v>9.8000000000000004E-2</v>
          </cell>
          <cell r="E97">
            <v>9.7000000000000003E-2</v>
          </cell>
        </row>
        <row r="98">
          <cell r="B98" t="str">
            <v>Ⅴ-23</v>
          </cell>
          <cell r="C98">
            <v>0.1</v>
          </cell>
          <cell r="D98">
            <v>0.1</v>
          </cell>
          <cell r="E98">
            <v>9.7000000000000003E-2</v>
          </cell>
        </row>
        <row r="99">
          <cell r="B99" t="str">
            <v>Ⅴ-24</v>
          </cell>
          <cell r="C99">
            <v>0.1</v>
          </cell>
          <cell r="D99">
            <v>0.1</v>
          </cell>
        </row>
        <row r="100">
          <cell r="B100" t="str">
            <v>Ⅴ-25</v>
          </cell>
          <cell r="C100">
            <v>0.09</v>
          </cell>
          <cell r="D100">
            <v>8.8999999999999996E-2</v>
          </cell>
        </row>
        <row r="101">
          <cell r="B101" t="str">
            <v>Ⅴ-26</v>
          </cell>
          <cell r="C101">
            <v>9.8000000000000004E-2</v>
          </cell>
          <cell r="D101">
            <v>9.7000000000000003E-2</v>
          </cell>
        </row>
        <row r="102">
          <cell r="B102" t="str">
            <v>Ⅴ-电子城北</v>
          </cell>
          <cell r="F102">
            <v>0.05</v>
          </cell>
        </row>
        <row r="103">
          <cell r="B103" t="str">
            <v>Ⅴ-永丰产业基地</v>
          </cell>
          <cell r="F103">
            <v>0.05</v>
          </cell>
        </row>
        <row r="104">
          <cell r="B104" t="str">
            <v>Ⅴ-航天城</v>
          </cell>
          <cell r="F104">
            <v>0.05</v>
          </cell>
        </row>
        <row r="105">
          <cell r="B105" t="str">
            <v>Ⅴ-西北旺Ⅰ</v>
          </cell>
          <cell r="F105">
            <v>0.05</v>
          </cell>
        </row>
        <row r="106">
          <cell r="B106" t="str">
            <v>Ⅴ-西北旺Ⅱ</v>
          </cell>
          <cell r="F106">
            <v>0.05</v>
          </cell>
        </row>
        <row r="107">
          <cell r="B107" t="str">
            <v>Ⅴ-石景山园南区</v>
          </cell>
          <cell r="F107">
            <v>0.05</v>
          </cell>
        </row>
        <row r="108">
          <cell r="B108" t="str">
            <v>Ⅴ-石景山园北Ⅰ</v>
          </cell>
          <cell r="F108">
            <v>0.05</v>
          </cell>
        </row>
        <row r="109">
          <cell r="B109" t="str">
            <v>Ⅴ-石景山园北Ⅱ</v>
          </cell>
          <cell r="F109">
            <v>0.05</v>
          </cell>
        </row>
        <row r="110">
          <cell r="B110" t="str">
            <v>Ⅵ-01</v>
          </cell>
          <cell r="C110">
            <v>0.129</v>
          </cell>
          <cell r="D110">
            <v>0.129</v>
          </cell>
          <cell r="E110">
            <v>0.126</v>
          </cell>
          <cell r="F110">
            <v>0.13</v>
          </cell>
        </row>
        <row r="111">
          <cell r="B111" t="str">
            <v>Ⅵ-02</v>
          </cell>
          <cell r="C111">
            <v>0.11</v>
          </cell>
          <cell r="D111">
            <v>0.11</v>
          </cell>
          <cell r="E111">
            <v>9.9000000000000005E-2</v>
          </cell>
          <cell r="F111">
            <v>0.128</v>
          </cell>
        </row>
        <row r="112">
          <cell r="B112" t="str">
            <v>Ⅵ-03</v>
          </cell>
          <cell r="C112">
            <v>0.125</v>
          </cell>
          <cell r="D112">
            <v>0.125</v>
          </cell>
          <cell r="E112">
            <v>0.12</v>
          </cell>
          <cell r="F112">
            <v>0.125</v>
          </cell>
        </row>
        <row r="113">
          <cell r="B113" t="str">
            <v>Ⅵ-04</v>
          </cell>
          <cell r="C113">
            <v>0.13</v>
          </cell>
          <cell r="D113">
            <v>0.13</v>
          </cell>
          <cell r="E113">
            <v>0.13</v>
          </cell>
          <cell r="F113">
            <v>0.13</v>
          </cell>
        </row>
        <row r="114">
          <cell r="B114" t="str">
            <v>Ⅵ-05</v>
          </cell>
          <cell r="C114">
            <v>0.123</v>
          </cell>
          <cell r="D114">
            <v>0.123</v>
          </cell>
          <cell r="E114">
            <v>0.12</v>
          </cell>
          <cell r="F114">
            <v>0.13</v>
          </cell>
        </row>
        <row r="115">
          <cell r="B115" t="str">
            <v>Ⅵ-06</v>
          </cell>
          <cell r="C115">
            <v>0.125</v>
          </cell>
          <cell r="D115">
            <v>0.125</v>
          </cell>
          <cell r="E115">
            <v>0.11700000000000001</v>
          </cell>
          <cell r="F115">
            <v>0.13</v>
          </cell>
        </row>
        <row r="116">
          <cell r="B116" t="str">
            <v>Ⅵ-07</v>
          </cell>
          <cell r="C116">
            <v>0.11700000000000001</v>
          </cell>
          <cell r="D116">
            <v>0.11700000000000001</v>
          </cell>
          <cell r="E116">
            <v>8.7999999999999995E-2</v>
          </cell>
          <cell r="F116">
            <v>0.13</v>
          </cell>
        </row>
        <row r="117">
          <cell r="B117" t="str">
            <v>Ⅵ-08</v>
          </cell>
          <cell r="C117">
            <v>0.13</v>
          </cell>
          <cell r="D117">
            <v>0.13</v>
          </cell>
          <cell r="E117">
            <v>0.129</v>
          </cell>
          <cell r="F117">
            <v>0.13</v>
          </cell>
        </row>
        <row r="118">
          <cell r="B118" t="str">
            <v>Ⅵ-09</v>
          </cell>
          <cell r="C118">
            <v>0.123</v>
          </cell>
          <cell r="D118">
            <v>0.123</v>
          </cell>
          <cell r="E118">
            <v>0.11600000000000001</v>
          </cell>
          <cell r="F118">
            <v>0.13</v>
          </cell>
        </row>
        <row r="119">
          <cell r="B119" t="str">
            <v>Ⅵ-10</v>
          </cell>
          <cell r="C119">
            <v>0.127</v>
          </cell>
          <cell r="D119">
            <v>0.127</v>
          </cell>
          <cell r="E119">
            <v>0.124</v>
          </cell>
          <cell r="F119">
            <v>0.13</v>
          </cell>
        </row>
        <row r="120">
          <cell r="B120" t="str">
            <v>Ⅵ-11</v>
          </cell>
          <cell r="C120">
            <v>0.125</v>
          </cell>
          <cell r="D120">
            <v>0.125</v>
          </cell>
          <cell r="E120">
            <v>0.122</v>
          </cell>
          <cell r="F120">
            <v>0.13</v>
          </cell>
        </row>
        <row r="121">
          <cell r="B121" t="str">
            <v>Ⅵ-12</v>
          </cell>
          <cell r="C121">
            <v>0.13</v>
          </cell>
          <cell r="D121">
            <v>0.13</v>
          </cell>
          <cell r="E121">
            <v>0.13</v>
          </cell>
          <cell r="F121">
            <v>0.13</v>
          </cell>
        </row>
        <row r="122">
          <cell r="B122" t="str">
            <v>Ⅵ-13</v>
          </cell>
          <cell r="C122">
            <v>0.13</v>
          </cell>
          <cell r="D122">
            <v>0.13</v>
          </cell>
          <cell r="E122">
            <v>0.125</v>
          </cell>
          <cell r="F122">
            <v>0.13</v>
          </cell>
        </row>
        <row r="123">
          <cell r="B123" t="str">
            <v>Ⅵ-14</v>
          </cell>
          <cell r="C123">
            <v>0.129</v>
          </cell>
          <cell r="D123">
            <v>0.129</v>
          </cell>
          <cell r="E123">
            <v>0.123</v>
          </cell>
          <cell r="F123">
            <v>0.13</v>
          </cell>
        </row>
        <row r="124">
          <cell r="B124" t="str">
            <v>Ⅵ-15</v>
          </cell>
          <cell r="C124">
            <v>0.10199999999999999</v>
          </cell>
          <cell r="D124">
            <v>0.10100000000000001</v>
          </cell>
          <cell r="E124">
            <v>0.08</v>
          </cell>
        </row>
        <row r="125">
          <cell r="B125" t="str">
            <v>Ⅵ-16</v>
          </cell>
          <cell r="C125">
            <v>0.13</v>
          </cell>
          <cell r="D125">
            <v>0.13</v>
          </cell>
          <cell r="E125">
            <v>0.129</v>
          </cell>
        </row>
        <row r="126">
          <cell r="B126" t="str">
            <v>Ⅵ-17</v>
          </cell>
          <cell r="C126">
            <v>0.13</v>
          </cell>
          <cell r="D126">
            <v>0.13</v>
          </cell>
          <cell r="E126">
            <v>0.126</v>
          </cell>
        </row>
        <row r="127">
          <cell r="B127" t="str">
            <v>Ⅵ-18</v>
          </cell>
          <cell r="C127">
            <v>0.125</v>
          </cell>
          <cell r="D127">
            <v>0.125</v>
          </cell>
          <cell r="E127">
            <v>0.121</v>
          </cell>
        </row>
        <row r="128">
          <cell r="B128" t="str">
            <v>Ⅵ-19</v>
          </cell>
          <cell r="C128">
            <v>0.12</v>
          </cell>
          <cell r="D128">
            <v>0.12</v>
          </cell>
          <cell r="E128">
            <v>0.105</v>
          </cell>
        </row>
        <row r="129">
          <cell r="B129" t="str">
            <v>Ⅵ-20</v>
          </cell>
          <cell r="C129">
            <v>0.13</v>
          </cell>
          <cell r="D129">
            <v>0.13</v>
          </cell>
          <cell r="E129">
            <v>0.126</v>
          </cell>
        </row>
        <row r="130">
          <cell r="B130" t="str">
            <v>Ⅵ-21</v>
          </cell>
          <cell r="C130">
            <v>0.125</v>
          </cell>
          <cell r="D130">
            <v>0.125</v>
          </cell>
          <cell r="E130">
            <v>0.122</v>
          </cell>
        </row>
        <row r="131">
          <cell r="B131" t="str">
            <v>Ⅵ-22</v>
          </cell>
          <cell r="C131">
            <v>0.127</v>
          </cell>
          <cell r="D131">
            <v>0.126</v>
          </cell>
          <cell r="E131">
            <v>0.123</v>
          </cell>
        </row>
        <row r="132">
          <cell r="B132" t="str">
            <v>Ⅵ-23</v>
          </cell>
          <cell r="C132">
            <v>9.0999999999999998E-2</v>
          </cell>
          <cell r="D132">
            <v>0.121</v>
          </cell>
          <cell r="E132">
            <v>9.9000000000000005E-2</v>
          </cell>
        </row>
        <row r="133">
          <cell r="B133" t="str">
            <v>Ⅵ-24</v>
          </cell>
          <cell r="C133">
            <v>0.13</v>
          </cell>
          <cell r="D133">
            <v>0.13</v>
          </cell>
          <cell r="E133">
            <v>0.129</v>
          </cell>
        </row>
        <row r="134">
          <cell r="B134" t="str">
            <v>Ⅵ-通1</v>
          </cell>
          <cell r="C134">
            <v>6.8000000000000005E-2</v>
          </cell>
          <cell r="D134">
            <v>6.5000000000000002E-2</v>
          </cell>
          <cell r="E134">
            <v>6.5000000000000002E-2</v>
          </cell>
          <cell r="F134">
            <v>0.13</v>
          </cell>
        </row>
        <row r="135">
          <cell r="B135" t="str">
            <v>Ⅵ-通2</v>
          </cell>
          <cell r="C135">
            <v>0.123</v>
          </cell>
          <cell r="D135">
            <v>0.123</v>
          </cell>
          <cell r="E135">
            <v>0.11</v>
          </cell>
        </row>
        <row r="136">
          <cell r="B136" t="str">
            <v>Ⅵ-通3</v>
          </cell>
          <cell r="C136">
            <v>0.13</v>
          </cell>
          <cell r="D136">
            <v>0.13</v>
          </cell>
          <cell r="E136">
            <v>0.125</v>
          </cell>
        </row>
        <row r="137">
          <cell r="B137" t="str">
            <v>Ⅵ-通4</v>
          </cell>
          <cell r="C137">
            <v>0.121</v>
          </cell>
          <cell r="D137">
            <v>0.122</v>
          </cell>
          <cell r="E137">
            <v>0.115</v>
          </cell>
        </row>
        <row r="138">
          <cell r="B138" t="str">
            <v>Ⅵ-顺1</v>
          </cell>
          <cell r="C138">
            <v>0.105</v>
          </cell>
          <cell r="D138">
            <v>0.125</v>
          </cell>
          <cell r="E138">
            <v>0.112</v>
          </cell>
        </row>
        <row r="139">
          <cell r="B139" t="str">
            <v>Ⅵ-兴1</v>
          </cell>
          <cell r="C139">
            <v>0.127</v>
          </cell>
          <cell r="D139">
            <v>0.127</v>
          </cell>
          <cell r="E139">
            <v>0.122</v>
          </cell>
          <cell r="F139">
            <v>0.13</v>
          </cell>
        </row>
        <row r="140">
          <cell r="B140" t="str">
            <v>Ⅵ-昌1</v>
          </cell>
          <cell r="C140">
            <v>0.125</v>
          </cell>
          <cell r="D140">
            <v>0.125</v>
          </cell>
          <cell r="E140">
            <v>0.11899999999999999</v>
          </cell>
          <cell r="F140">
            <v>0.13</v>
          </cell>
        </row>
        <row r="141">
          <cell r="B141" t="str">
            <v>Ⅵ-昌2</v>
          </cell>
          <cell r="C141">
            <v>0.125</v>
          </cell>
          <cell r="D141">
            <v>0.125</v>
          </cell>
          <cell r="E141">
            <v>0.11700000000000001</v>
          </cell>
        </row>
        <row r="142">
          <cell r="B142" t="str">
            <v>Ⅵ-昌3</v>
          </cell>
          <cell r="C142">
            <v>0.125</v>
          </cell>
          <cell r="D142">
            <v>0.125</v>
          </cell>
          <cell r="E142">
            <v>0.115</v>
          </cell>
        </row>
        <row r="143">
          <cell r="B143" t="str">
            <v>Ⅵ-昌4</v>
          </cell>
          <cell r="C143">
            <v>0.121</v>
          </cell>
          <cell r="D143">
            <v>0.121</v>
          </cell>
          <cell r="E143">
            <v>0.108</v>
          </cell>
        </row>
        <row r="144">
          <cell r="B144" t="str">
            <v>Ⅵ-亦1</v>
          </cell>
          <cell r="C144">
            <v>0.126</v>
          </cell>
          <cell r="D144">
            <v>0.126</v>
          </cell>
          <cell r="E144">
            <v>0.121</v>
          </cell>
        </row>
        <row r="145">
          <cell r="B145" t="str">
            <v>Ⅵ-创新园</v>
          </cell>
          <cell r="F145">
            <v>0.05</v>
          </cell>
        </row>
        <row r="146">
          <cell r="B146" t="str">
            <v>Ⅵ-海淀环保园</v>
          </cell>
          <cell r="F146">
            <v>0.05</v>
          </cell>
        </row>
        <row r="147">
          <cell r="B147" t="str">
            <v>Ⅵ-温泉科技Ⅰ</v>
          </cell>
          <cell r="F147">
            <v>0.05</v>
          </cell>
        </row>
        <row r="148">
          <cell r="B148" t="str">
            <v>Ⅵ-温泉科技Ⅱ</v>
          </cell>
          <cell r="F148">
            <v>0.05</v>
          </cell>
        </row>
        <row r="149">
          <cell r="B149" t="str">
            <v>Ⅵ-温泉科技Ⅲ</v>
          </cell>
          <cell r="F149">
            <v>0.05</v>
          </cell>
        </row>
        <row r="150">
          <cell r="B150" t="str">
            <v>Ⅵ-天竺保税区南</v>
          </cell>
          <cell r="F150">
            <v>0.05</v>
          </cell>
        </row>
        <row r="151">
          <cell r="B151" t="str">
            <v>Ⅵ-天竺保税区北1</v>
          </cell>
          <cell r="F151">
            <v>0.05</v>
          </cell>
        </row>
        <row r="152">
          <cell r="B152" t="str">
            <v>Ⅵ-天竺保税区北2</v>
          </cell>
          <cell r="F152">
            <v>0.05</v>
          </cell>
        </row>
        <row r="153">
          <cell r="B153" t="str">
            <v>Ⅵ-空港A</v>
          </cell>
          <cell r="F153">
            <v>0.05</v>
          </cell>
        </row>
        <row r="154">
          <cell r="B154" t="str">
            <v>Ⅵ-空港B</v>
          </cell>
          <cell r="F154">
            <v>0.05</v>
          </cell>
        </row>
        <row r="155">
          <cell r="B155" t="str">
            <v>Ⅵ-生命科学园</v>
          </cell>
          <cell r="F155">
            <v>0.05</v>
          </cell>
        </row>
        <row r="156">
          <cell r="B156" t="str">
            <v>Ⅵ-昌三一光电</v>
          </cell>
          <cell r="F156">
            <v>0.05</v>
          </cell>
        </row>
        <row r="157">
          <cell r="B157" t="str">
            <v>Ⅵ-BDA核心</v>
          </cell>
          <cell r="F157">
            <v>0.05</v>
          </cell>
        </row>
        <row r="158">
          <cell r="B158" t="str">
            <v>Ⅶ-01</v>
          </cell>
          <cell r="C158">
            <v>0.13</v>
          </cell>
          <cell r="D158">
            <v>0.13</v>
          </cell>
          <cell r="E158">
            <v>0.13</v>
          </cell>
          <cell r="F158">
            <v>0.13</v>
          </cell>
        </row>
        <row r="159">
          <cell r="B159" t="str">
            <v>Ⅶ-02</v>
          </cell>
          <cell r="C159">
            <v>0.13</v>
          </cell>
          <cell r="D159">
            <v>0.13</v>
          </cell>
          <cell r="E159">
            <v>0.13</v>
          </cell>
          <cell r="F159">
            <v>0.13</v>
          </cell>
        </row>
        <row r="160">
          <cell r="B160" t="str">
            <v>Ⅶ-03</v>
          </cell>
          <cell r="C160">
            <v>0.13</v>
          </cell>
          <cell r="D160">
            <v>0.13</v>
          </cell>
          <cell r="E160">
            <v>0.129</v>
          </cell>
          <cell r="F160">
            <v>0.13</v>
          </cell>
        </row>
        <row r="161">
          <cell r="B161" t="str">
            <v>Ⅶ-04</v>
          </cell>
          <cell r="C161">
            <v>0.128</v>
          </cell>
          <cell r="D161">
            <v>0.128</v>
          </cell>
          <cell r="E161">
            <v>0.125</v>
          </cell>
          <cell r="F161">
            <v>0.13</v>
          </cell>
        </row>
        <row r="162">
          <cell r="B162" t="str">
            <v>Ⅶ-05</v>
          </cell>
          <cell r="C162">
            <v>0.122</v>
          </cell>
          <cell r="D162">
            <v>0.122</v>
          </cell>
          <cell r="E162">
            <v>0.126</v>
          </cell>
          <cell r="F162">
            <v>0.122</v>
          </cell>
        </row>
        <row r="163">
          <cell r="B163" t="str">
            <v>Ⅶ-06</v>
          </cell>
          <cell r="C163">
            <v>0.13</v>
          </cell>
          <cell r="D163">
            <v>0.13</v>
          </cell>
          <cell r="E163">
            <v>0.125</v>
          </cell>
          <cell r="F163">
            <v>0.13</v>
          </cell>
        </row>
        <row r="164">
          <cell r="B164" t="str">
            <v>Ⅶ-07</v>
          </cell>
          <cell r="C164">
            <v>0.13</v>
          </cell>
          <cell r="D164">
            <v>0.13</v>
          </cell>
          <cell r="E164">
            <v>0.13</v>
          </cell>
          <cell r="F164">
            <v>0.13</v>
          </cell>
        </row>
        <row r="165">
          <cell r="B165" t="str">
            <v>Ⅶ-08</v>
          </cell>
          <cell r="C165">
            <v>0.13</v>
          </cell>
          <cell r="D165">
            <v>0.13</v>
          </cell>
          <cell r="E165">
            <v>0.124</v>
          </cell>
          <cell r="F165">
            <v>0.13</v>
          </cell>
        </row>
        <row r="166">
          <cell r="B166" t="str">
            <v>Ⅶ-09</v>
          </cell>
          <cell r="C166">
            <v>0.13</v>
          </cell>
          <cell r="D166">
            <v>0.13</v>
          </cell>
          <cell r="E166">
            <v>0.13</v>
          </cell>
          <cell r="F166">
            <v>0.13</v>
          </cell>
        </row>
        <row r="167">
          <cell r="B167" t="str">
            <v>Ⅶ-10</v>
          </cell>
          <cell r="C167">
            <v>0.125</v>
          </cell>
          <cell r="D167">
            <v>0.125</v>
          </cell>
          <cell r="E167">
            <v>0.121</v>
          </cell>
        </row>
        <row r="168">
          <cell r="B168" t="str">
            <v>Ⅶ-11</v>
          </cell>
          <cell r="C168">
            <v>0.13</v>
          </cell>
          <cell r="D168">
            <v>0.13</v>
          </cell>
          <cell r="E168">
            <v>0.126</v>
          </cell>
        </row>
        <row r="169">
          <cell r="B169" t="str">
            <v>Ⅶ-12</v>
          </cell>
          <cell r="C169">
            <v>0.128</v>
          </cell>
          <cell r="D169">
            <v>0.129</v>
          </cell>
          <cell r="E169">
            <v>0.13</v>
          </cell>
        </row>
        <row r="170">
          <cell r="B170" t="str">
            <v>Ⅶ-13</v>
          </cell>
          <cell r="C170">
            <v>0.14099999999999999</v>
          </cell>
          <cell r="D170">
            <v>0.13</v>
          </cell>
          <cell r="E170">
            <v>0.125</v>
          </cell>
        </row>
        <row r="171">
          <cell r="B171" t="str">
            <v>Ⅶ-门1</v>
          </cell>
          <cell r="C171">
            <v>0.127</v>
          </cell>
          <cell r="D171">
            <v>0.126</v>
          </cell>
          <cell r="E171">
            <v>0.126</v>
          </cell>
          <cell r="F171">
            <v>0.11799999999999999</v>
          </cell>
        </row>
        <row r="172">
          <cell r="B172" t="str">
            <v>Ⅶ-房1</v>
          </cell>
          <cell r="C172">
            <v>0.13</v>
          </cell>
          <cell r="D172">
            <v>0.13</v>
          </cell>
          <cell r="E172">
            <v>0.13</v>
          </cell>
        </row>
        <row r="173">
          <cell r="B173" t="str">
            <v>Ⅶ-房2</v>
          </cell>
          <cell r="C173">
            <v>0.13</v>
          </cell>
          <cell r="D173">
            <v>0.13</v>
          </cell>
          <cell r="E173">
            <v>0.13</v>
          </cell>
        </row>
        <row r="174">
          <cell r="B174" t="str">
            <v>Ⅶ-通1</v>
          </cell>
          <cell r="C174">
            <v>0.13</v>
          </cell>
          <cell r="D174">
            <v>0.13</v>
          </cell>
          <cell r="E174">
            <v>0.13</v>
          </cell>
          <cell r="F174">
            <v>0.13</v>
          </cell>
        </row>
        <row r="175">
          <cell r="B175" t="str">
            <v>Ⅶ-顺1</v>
          </cell>
          <cell r="C175">
            <v>0.13</v>
          </cell>
          <cell r="D175">
            <v>0.13</v>
          </cell>
          <cell r="E175">
            <v>0.13</v>
          </cell>
          <cell r="F175">
            <v>0.13</v>
          </cell>
        </row>
        <row r="176">
          <cell r="B176" t="str">
            <v>Ⅶ-顺2</v>
          </cell>
          <cell r="C176">
            <v>0.13</v>
          </cell>
          <cell r="D176">
            <v>0.13</v>
          </cell>
          <cell r="E176">
            <v>0.13</v>
          </cell>
          <cell r="F176">
            <v>0.13</v>
          </cell>
        </row>
        <row r="177">
          <cell r="B177" t="str">
            <v>Ⅶ-兴1</v>
          </cell>
          <cell r="C177">
            <v>0.13</v>
          </cell>
          <cell r="D177">
            <v>0.13</v>
          </cell>
          <cell r="E177">
            <v>0.13</v>
          </cell>
          <cell r="F177">
            <v>0.13</v>
          </cell>
        </row>
        <row r="178">
          <cell r="B178" t="str">
            <v>Ⅶ-兴2</v>
          </cell>
          <cell r="C178">
            <v>0.13</v>
          </cell>
          <cell r="D178">
            <v>0.13</v>
          </cell>
          <cell r="E178">
            <v>0.13</v>
          </cell>
          <cell r="F178">
            <v>0.127</v>
          </cell>
        </row>
        <row r="179">
          <cell r="B179" t="str">
            <v>Ⅶ-兴3</v>
          </cell>
          <cell r="C179">
            <v>0.13</v>
          </cell>
          <cell r="D179">
            <v>0.13</v>
          </cell>
          <cell r="E179">
            <v>0.13</v>
          </cell>
        </row>
        <row r="180">
          <cell r="B180" t="str">
            <v>Ⅶ-昌1</v>
          </cell>
          <cell r="C180">
            <v>0.13</v>
          </cell>
          <cell r="D180">
            <v>0.13</v>
          </cell>
          <cell r="E180">
            <v>0.125</v>
          </cell>
          <cell r="F180">
            <v>0.13</v>
          </cell>
        </row>
        <row r="181">
          <cell r="B181" t="str">
            <v>Ⅶ-昌2</v>
          </cell>
          <cell r="C181">
            <v>0.122</v>
          </cell>
          <cell r="D181">
            <v>0.123</v>
          </cell>
          <cell r="E181">
            <v>0.126</v>
          </cell>
          <cell r="F181">
            <v>0.121</v>
          </cell>
        </row>
        <row r="182">
          <cell r="B182" t="str">
            <v>Ⅶ-昌3</v>
          </cell>
          <cell r="C182">
            <v>0.125</v>
          </cell>
          <cell r="D182">
            <v>0.125</v>
          </cell>
          <cell r="E182">
            <v>0.11700000000000001</v>
          </cell>
          <cell r="F182">
            <v>0.13</v>
          </cell>
        </row>
        <row r="183">
          <cell r="B183" t="str">
            <v>Ⅶ-昌4</v>
          </cell>
          <cell r="C183">
            <v>0.127</v>
          </cell>
          <cell r="D183">
            <v>0.127</v>
          </cell>
          <cell r="E183">
            <v>0.128</v>
          </cell>
        </row>
        <row r="184">
          <cell r="B184" t="str">
            <v>Ⅶ-昌5</v>
          </cell>
          <cell r="C184">
            <v>0.125</v>
          </cell>
          <cell r="D184">
            <v>0.125</v>
          </cell>
          <cell r="E184">
            <v>0.127</v>
          </cell>
        </row>
        <row r="185">
          <cell r="B185" t="str">
            <v>Ⅶ-亦1</v>
          </cell>
          <cell r="C185">
            <v>0.127</v>
          </cell>
          <cell r="D185">
            <v>0.127</v>
          </cell>
          <cell r="E185">
            <v>0.128</v>
          </cell>
          <cell r="F185">
            <v>0.13</v>
          </cell>
        </row>
        <row r="186">
          <cell r="B186" t="str">
            <v>Ⅶ-国际教育园</v>
          </cell>
          <cell r="F186">
            <v>0.05</v>
          </cell>
        </row>
        <row r="187">
          <cell r="B187" t="str">
            <v>Ⅶ-农林园</v>
          </cell>
          <cell r="F187">
            <v>0.05</v>
          </cell>
        </row>
        <row r="188">
          <cell r="B188" t="str">
            <v>Ⅶ-上庄科技</v>
          </cell>
          <cell r="F188">
            <v>0.05</v>
          </cell>
        </row>
        <row r="189">
          <cell r="B189" t="str">
            <v>Ⅶ-文化教育基地</v>
          </cell>
          <cell r="F189">
            <v>0.05</v>
          </cell>
        </row>
        <row r="190">
          <cell r="B190" t="str">
            <v>Ⅶ-苏家坨科技Ⅰ</v>
          </cell>
          <cell r="F190">
            <v>0.05</v>
          </cell>
        </row>
        <row r="191">
          <cell r="B191" t="str">
            <v>Ⅶ-苏家坨科技Ⅱ</v>
          </cell>
          <cell r="F191">
            <v>0.05</v>
          </cell>
        </row>
        <row r="192">
          <cell r="B192" t="str">
            <v>Ⅶ-丰台园西Ⅰ</v>
          </cell>
          <cell r="F192">
            <v>0.05</v>
          </cell>
        </row>
        <row r="193">
          <cell r="B193" t="str">
            <v>Ⅶ-丰台园西Ⅱ</v>
          </cell>
          <cell r="F193">
            <v>0.05</v>
          </cell>
        </row>
        <row r="194">
          <cell r="B194" t="str">
            <v>Ⅶ-石龙开发区</v>
          </cell>
          <cell r="F194">
            <v>0.05</v>
          </cell>
        </row>
        <row r="195">
          <cell r="B195" t="str">
            <v>Ⅶ-光机电</v>
          </cell>
          <cell r="F195">
            <v>0.05</v>
          </cell>
        </row>
        <row r="196">
          <cell r="B196" t="str">
            <v>Ⅶ-通州开发区西</v>
          </cell>
          <cell r="F196">
            <v>0.05</v>
          </cell>
        </row>
        <row r="197">
          <cell r="B197" t="str">
            <v>Ⅶ-林河开发区</v>
          </cell>
          <cell r="F197">
            <v>0.05</v>
          </cell>
        </row>
        <row r="198">
          <cell r="B198" t="str">
            <v>Ⅶ-大兴开发区</v>
          </cell>
          <cell r="F198">
            <v>0.05</v>
          </cell>
        </row>
        <row r="199">
          <cell r="B199" t="str">
            <v>Ⅶ-昌平园南Ⅰ</v>
          </cell>
          <cell r="F199">
            <v>0.05</v>
          </cell>
        </row>
        <row r="200">
          <cell r="B200" t="str">
            <v>Ⅶ-昌平园南Ⅱ</v>
          </cell>
          <cell r="F200">
            <v>0.05</v>
          </cell>
        </row>
        <row r="201">
          <cell r="B201" t="str">
            <v>Ⅶ-昌平园北Ⅰ</v>
          </cell>
          <cell r="F201">
            <v>0.05</v>
          </cell>
        </row>
        <row r="202">
          <cell r="B202" t="str">
            <v>Ⅶ-昌平园北Ⅱ</v>
          </cell>
          <cell r="F202">
            <v>0.05</v>
          </cell>
        </row>
        <row r="203">
          <cell r="B203" t="str">
            <v>Ⅶ-昌平园北Ⅲ</v>
          </cell>
          <cell r="F203">
            <v>0.05</v>
          </cell>
        </row>
        <row r="204">
          <cell r="B204" t="str">
            <v>Ⅶ-BDA东</v>
          </cell>
          <cell r="F204">
            <v>0.05</v>
          </cell>
        </row>
        <row r="205">
          <cell r="B205" t="str">
            <v>Ⅶ-BDA西</v>
          </cell>
          <cell r="F205">
            <v>0.05</v>
          </cell>
        </row>
        <row r="206">
          <cell r="B206" t="str">
            <v>Ⅷ-01</v>
          </cell>
          <cell r="C206">
            <v>0.15</v>
          </cell>
          <cell r="D206">
            <v>0.15</v>
          </cell>
          <cell r="E206">
            <v>0.15</v>
          </cell>
          <cell r="F206">
            <v>0.15</v>
          </cell>
        </row>
        <row r="207">
          <cell r="B207" t="str">
            <v>Ⅷ-02</v>
          </cell>
          <cell r="C207">
            <v>0.15</v>
          </cell>
          <cell r="D207">
            <v>0.15</v>
          </cell>
          <cell r="E207">
            <v>0.15</v>
          </cell>
          <cell r="F207">
            <v>0.14399999999999999</v>
          </cell>
        </row>
        <row r="208">
          <cell r="B208" t="str">
            <v>Ⅷ-03</v>
          </cell>
          <cell r="C208">
            <v>0.15</v>
          </cell>
          <cell r="D208">
            <v>0.15</v>
          </cell>
          <cell r="E208">
            <v>0.15</v>
          </cell>
          <cell r="F208">
            <v>0.15</v>
          </cell>
        </row>
        <row r="209">
          <cell r="B209" t="str">
            <v>Ⅷ-04</v>
          </cell>
          <cell r="C209">
            <v>0.13700000000000001</v>
          </cell>
          <cell r="D209">
            <v>0.13700000000000001</v>
          </cell>
          <cell r="E209">
            <v>0.14000000000000001</v>
          </cell>
          <cell r="F209">
            <v>0.11700000000000001</v>
          </cell>
        </row>
        <row r="210">
          <cell r="B210" t="str">
            <v>Ⅷ-门1</v>
          </cell>
          <cell r="C210">
            <v>0.15</v>
          </cell>
          <cell r="D210">
            <v>0.15</v>
          </cell>
          <cell r="E210">
            <v>0.15</v>
          </cell>
          <cell r="F210">
            <v>0.13800000000000001</v>
          </cell>
        </row>
        <row r="211">
          <cell r="B211" t="str">
            <v>Ⅷ-门军</v>
          </cell>
          <cell r="C211">
            <v>0.13700000000000001</v>
          </cell>
          <cell r="D211">
            <v>0.13500000000000001</v>
          </cell>
          <cell r="E211">
            <v>0.13600000000000001</v>
          </cell>
          <cell r="F211">
            <v>0.1</v>
          </cell>
        </row>
        <row r="212">
          <cell r="B212" t="str">
            <v>Ⅷ-房1</v>
          </cell>
          <cell r="C212">
            <v>0.15</v>
          </cell>
          <cell r="D212">
            <v>0.15</v>
          </cell>
          <cell r="E212">
            <v>0.14799999999999999</v>
          </cell>
          <cell r="F212">
            <v>0.13600000000000001</v>
          </cell>
        </row>
        <row r="213">
          <cell r="B213" t="str">
            <v>Ⅷ-房2</v>
          </cell>
          <cell r="C213">
            <v>0.15</v>
          </cell>
          <cell r="D213">
            <v>0.15</v>
          </cell>
          <cell r="E213">
            <v>0.15</v>
          </cell>
          <cell r="F213">
            <v>0.13800000000000001</v>
          </cell>
        </row>
        <row r="214">
          <cell r="B214" t="str">
            <v>Ⅷ-房3</v>
          </cell>
          <cell r="C214">
            <v>9.0999999999999998E-2</v>
          </cell>
          <cell r="D214">
            <v>0.09</v>
          </cell>
          <cell r="E214">
            <v>9.1999999999999998E-2</v>
          </cell>
        </row>
        <row r="215">
          <cell r="B215" t="str">
            <v>Ⅷ-通1</v>
          </cell>
          <cell r="C215">
            <v>0.15</v>
          </cell>
          <cell r="D215">
            <v>0.15</v>
          </cell>
          <cell r="E215">
            <v>0.15</v>
          </cell>
          <cell r="F215">
            <v>0.15</v>
          </cell>
        </row>
        <row r="216">
          <cell r="B216" t="str">
            <v>Ⅷ-通2</v>
          </cell>
          <cell r="C216">
            <v>0.14699999999999999</v>
          </cell>
          <cell r="D216">
            <v>0.14699999999999999</v>
          </cell>
          <cell r="E216">
            <v>0.15</v>
          </cell>
          <cell r="F216">
            <v>0.14000000000000001</v>
          </cell>
        </row>
        <row r="217">
          <cell r="B217" t="str">
            <v>Ⅷ-通3</v>
          </cell>
          <cell r="C217">
            <v>0.15</v>
          </cell>
          <cell r="D217">
            <v>0.15</v>
          </cell>
          <cell r="E217">
            <v>0.15</v>
          </cell>
          <cell r="F217">
            <v>0.15</v>
          </cell>
        </row>
        <row r="218">
          <cell r="B218" t="str">
            <v>Ⅷ-顺1</v>
          </cell>
          <cell r="C218">
            <v>0.15</v>
          </cell>
          <cell r="D218">
            <v>0.15</v>
          </cell>
          <cell r="E218">
            <v>0.15</v>
          </cell>
          <cell r="F218">
            <v>0.15</v>
          </cell>
        </row>
        <row r="219">
          <cell r="B219" t="str">
            <v>Ⅷ-顺2</v>
          </cell>
          <cell r="C219">
            <v>0.15</v>
          </cell>
          <cell r="D219">
            <v>0.15</v>
          </cell>
          <cell r="E219">
            <v>0.15</v>
          </cell>
          <cell r="F219">
            <v>0.14799999999999999</v>
          </cell>
        </row>
        <row r="220">
          <cell r="B220" t="str">
            <v>Ⅷ-顺3</v>
          </cell>
          <cell r="C220">
            <v>0.15</v>
          </cell>
          <cell r="D220">
            <v>0.15</v>
          </cell>
          <cell r="E220">
            <v>0.15</v>
          </cell>
          <cell r="F220">
            <v>0.15</v>
          </cell>
        </row>
        <row r="221">
          <cell r="B221" t="str">
            <v>Ⅷ-顺4</v>
          </cell>
          <cell r="F221">
            <v>0.14799999999999999</v>
          </cell>
        </row>
        <row r="222">
          <cell r="B222" t="str">
            <v>Ⅷ-顺5</v>
          </cell>
          <cell r="F222">
            <v>0.1</v>
          </cell>
        </row>
        <row r="223">
          <cell r="B223" t="str">
            <v>Ⅷ-顺6</v>
          </cell>
          <cell r="F223">
            <v>0.15</v>
          </cell>
        </row>
        <row r="224">
          <cell r="B224" t="str">
            <v>Ⅷ-顺7</v>
          </cell>
          <cell r="F224">
            <v>0.15</v>
          </cell>
        </row>
        <row r="225">
          <cell r="B225" t="str">
            <v>Ⅷ-兴1</v>
          </cell>
          <cell r="C225">
            <v>0.15</v>
          </cell>
          <cell r="D225">
            <v>0.15</v>
          </cell>
          <cell r="E225">
            <v>0.15</v>
          </cell>
          <cell r="F225">
            <v>0.15</v>
          </cell>
        </row>
        <row r="226">
          <cell r="B226" t="str">
            <v>Ⅷ-兴2</v>
          </cell>
          <cell r="C226">
            <v>0.15</v>
          </cell>
          <cell r="D226">
            <v>0.15</v>
          </cell>
          <cell r="E226">
            <v>0.15</v>
          </cell>
          <cell r="F226">
            <v>0.14799999999999999</v>
          </cell>
        </row>
        <row r="227">
          <cell r="B227" t="str">
            <v>Ⅷ-昌1</v>
          </cell>
          <cell r="C227">
            <v>0.15</v>
          </cell>
          <cell r="D227">
            <v>0.15</v>
          </cell>
          <cell r="E227">
            <v>0.15</v>
          </cell>
          <cell r="F227">
            <v>0.15</v>
          </cell>
        </row>
        <row r="228">
          <cell r="B228" t="str">
            <v>Ⅷ-昌2</v>
          </cell>
          <cell r="C228">
            <v>0.15</v>
          </cell>
          <cell r="D228">
            <v>0.15</v>
          </cell>
          <cell r="E228">
            <v>0.15</v>
          </cell>
          <cell r="F228">
            <v>0.15</v>
          </cell>
        </row>
        <row r="229">
          <cell r="B229" t="str">
            <v>Ⅷ-昌3</v>
          </cell>
          <cell r="C229">
            <v>0.15</v>
          </cell>
          <cell r="D229">
            <v>0.15</v>
          </cell>
          <cell r="E229">
            <v>0.15</v>
          </cell>
        </row>
        <row r="230">
          <cell r="B230" t="str">
            <v>Ⅷ-昌4</v>
          </cell>
          <cell r="C230">
            <v>0.14499999999999999</v>
          </cell>
          <cell r="D230">
            <v>0.14499999999999999</v>
          </cell>
          <cell r="E230">
            <v>0.14399999999999999</v>
          </cell>
        </row>
        <row r="231">
          <cell r="B231" t="str">
            <v>Ⅷ-平1</v>
          </cell>
          <cell r="C231">
            <v>0.128</v>
          </cell>
          <cell r="D231">
            <v>0.125</v>
          </cell>
          <cell r="E231">
            <v>0.13200000000000001</v>
          </cell>
        </row>
        <row r="232">
          <cell r="B232" t="str">
            <v>Ⅷ-怀1</v>
          </cell>
          <cell r="C232">
            <v>0.14499999999999999</v>
          </cell>
          <cell r="D232">
            <v>0.14399999999999999</v>
          </cell>
          <cell r="E232">
            <v>0.14599999999999999</v>
          </cell>
          <cell r="F232">
            <v>0.13800000000000001</v>
          </cell>
        </row>
        <row r="233">
          <cell r="B233" t="str">
            <v>Ⅷ-密1</v>
          </cell>
          <cell r="C233">
            <v>0.14499999999999999</v>
          </cell>
          <cell r="D233">
            <v>0.14299999999999999</v>
          </cell>
          <cell r="E233">
            <v>0.14199999999999999</v>
          </cell>
        </row>
        <row r="234">
          <cell r="B234" t="str">
            <v>Ⅷ-廷1</v>
          </cell>
          <cell r="C234">
            <v>0.14000000000000001</v>
          </cell>
          <cell r="D234">
            <v>0.14000000000000001</v>
          </cell>
          <cell r="E234">
            <v>0.14399999999999999</v>
          </cell>
        </row>
        <row r="235">
          <cell r="B235" t="str">
            <v>Ⅷ-亦1</v>
          </cell>
          <cell r="C235">
            <v>0.14099999999999999</v>
          </cell>
          <cell r="D235">
            <v>0.14199999999999999</v>
          </cell>
          <cell r="E235">
            <v>0.14499999999999999</v>
          </cell>
          <cell r="F235">
            <v>0.15</v>
          </cell>
        </row>
        <row r="236">
          <cell r="B236" t="str">
            <v>Ⅷ-亦2</v>
          </cell>
          <cell r="F236">
            <v>0.14299999999999999</v>
          </cell>
        </row>
        <row r="237">
          <cell r="B237" t="str">
            <v>Ⅷ-良乡开发区A</v>
          </cell>
          <cell r="F237">
            <v>0.05</v>
          </cell>
        </row>
        <row r="238">
          <cell r="B238" t="str">
            <v>Ⅷ-良乡开发区B</v>
          </cell>
          <cell r="F238">
            <v>0.05</v>
          </cell>
        </row>
        <row r="239">
          <cell r="B239" t="str">
            <v>Ⅷ-良乡开发区C</v>
          </cell>
          <cell r="F239">
            <v>0.05</v>
          </cell>
        </row>
        <row r="240">
          <cell r="B240" t="str">
            <v>Ⅷ-通州环保园</v>
          </cell>
          <cell r="F240">
            <v>0.05</v>
          </cell>
        </row>
        <row r="241">
          <cell r="B241" t="str">
            <v>Ⅷ-空港北区A</v>
          </cell>
          <cell r="F241">
            <v>0.05</v>
          </cell>
        </row>
        <row r="242">
          <cell r="B242" t="str">
            <v>Ⅷ-空港北区B</v>
          </cell>
          <cell r="F242">
            <v>0.05</v>
          </cell>
        </row>
        <row r="243">
          <cell r="B243" t="str">
            <v>Ⅷ-生物医药基地</v>
          </cell>
          <cell r="F243">
            <v>0.05</v>
          </cell>
        </row>
        <row r="244">
          <cell r="B244" t="str">
            <v>Ⅷ-小汤山工业园</v>
          </cell>
          <cell r="F244">
            <v>0.05</v>
          </cell>
        </row>
        <row r="245">
          <cell r="B245" t="str">
            <v>Ⅸ-01</v>
          </cell>
          <cell r="C245">
            <v>0.15</v>
          </cell>
          <cell r="D245">
            <v>0.15</v>
          </cell>
          <cell r="E245">
            <v>0.15</v>
          </cell>
          <cell r="F245">
            <v>0.14299999999999999</v>
          </cell>
        </row>
        <row r="246">
          <cell r="B246" t="str">
            <v>Ⅸ-02</v>
          </cell>
          <cell r="C246">
            <v>0.15</v>
          </cell>
          <cell r="D246">
            <v>0.15</v>
          </cell>
          <cell r="E246">
            <v>0.15</v>
          </cell>
          <cell r="F246">
            <v>0.114</v>
          </cell>
        </row>
        <row r="247">
          <cell r="B247" t="str">
            <v>Ⅸ-门1</v>
          </cell>
          <cell r="C247">
            <v>0.15</v>
          </cell>
          <cell r="D247">
            <v>0.15</v>
          </cell>
          <cell r="E247">
            <v>0.15</v>
          </cell>
          <cell r="F247">
            <v>0.15</v>
          </cell>
        </row>
        <row r="248">
          <cell r="B248" t="str">
            <v>Ⅸ-门2</v>
          </cell>
          <cell r="C248">
            <v>0.15</v>
          </cell>
          <cell r="D248">
            <v>0.15</v>
          </cell>
          <cell r="E248">
            <v>0.15</v>
          </cell>
          <cell r="F248">
            <v>0.14000000000000001</v>
          </cell>
        </row>
        <row r="249">
          <cell r="B249" t="str">
            <v>Ⅸ-门潭</v>
          </cell>
          <cell r="C249">
            <v>0.15</v>
          </cell>
          <cell r="D249">
            <v>0.14899999999999999</v>
          </cell>
          <cell r="E249">
            <v>0.15</v>
          </cell>
          <cell r="F249">
            <v>0.1</v>
          </cell>
        </row>
        <row r="250">
          <cell r="B250" t="str">
            <v>Ⅸ-房1</v>
          </cell>
          <cell r="C250">
            <v>0.15</v>
          </cell>
          <cell r="D250">
            <v>0.15</v>
          </cell>
          <cell r="E250">
            <v>0.15</v>
          </cell>
          <cell r="F250">
            <v>0.14399999999999999</v>
          </cell>
        </row>
        <row r="251">
          <cell r="B251" t="str">
            <v>Ⅸ-房2</v>
          </cell>
          <cell r="C251">
            <v>0.15</v>
          </cell>
          <cell r="D251">
            <v>0.15</v>
          </cell>
          <cell r="E251">
            <v>0.15</v>
          </cell>
          <cell r="F251">
            <v>0.14299999999999999</v>
          </cell>
        </row>
        <row r="252">
          <cell r="B252" t="str">
            <v>Ⅸ-房3</v>
          </cell>
          <cell r="C252">
            <v>0.15</v>
          </cell>
          <cell r="D252">
            <v>0.15</v>
          </cell>
          <cell r="E252">
            <v>0.15</v>
          </cell>
          <cell r="F252">
            <v>0.1</v>
          </cell>
        </row>
        <row r="253">
          <cell r="B253" t="str">
            <v>Ⅸ-房4</v>
          </cell>
          <cell r="C253">
            <v>0.15</v>
          </cell>
          <cell r="D253">
            <v>0.15</v>
          </cell>
          <cell r="E253">
            <v>0.15</v>
          </cell>
          <cell r="F253">
            <v>0.1</v>
          </cell>
        </row>
        <row r="254">
          <cell r="B254" t="str">
            <v>Ⅸ-房5</v>
          </cell>
          <cell r="F254">
            <v>0.15</v>
          </cell>
        </row>
        <row r="255">
          <cell r="B255" t="str">
            <v>Ⅸ-房6</v>
          </cell>
          <cell r="F255">
            <v>0.14299999999999999</v>
          </cell>
        </row>
        <row r="256">
          <cell r="B256" t="str">
            <v>Ⅸ-通1</v>
          </cell>
          <cell r="C256">
            <v>0.14599999999999999</v>
          </cell>
          <cell r="D256">
            <v>0.14699999999999999</v>
          </cell>
          <cell r="E256">
            <v>0.15</v>
          </cell>
          <cell r="F256">
            <v>0.13200000000000001</v>
          </cell>
        </row>
        <row r="257">
          <cell r="B257" t="str">
            <v>Ⅸ-通2</v>
          </cell>
          <cell r="C257">
            <v>0.15</v>
          </cell>
          <cell r="D257">
            <v>0.15</v>
          </cell>
          <cell r="E257">
            <v>0.15</v>
          </cell>
          <cell r="F257">
            <v>0.13900000000000001</v>
          </cell>
        </row>
        <row r="258">
          <cell r="B258" t="str">
            <v>Ⅸ-通3</v>
          </cell>
          <cell r="C258">
            <v>0.15</v>
          </cell>
          <cell r="D258">
            <v>0.15</v>
          </cell>
          <cell r="E258">
            <v>0.15</v>
          </cell>
          <cell r="F258">
            <v>0.13</v>
          </cell>
        </row>
        <row r="259">
          <cell r="B259" t="str">
            <v>Ⅸ-顺1</v>
          </cell>
          <cell r="C259">
            <v>0.14799999999999999</v>
          </cell>
          <cell r="D259">
            <v>0.14899999999999999</v>
          </cell>
          <cell r="E259">
            <v>0.15</v>
          </cell>
          <cell r="F259">
            <v>0.13700000000000001</v>
          </cell>
        </row>
        <row r="260">
          <cell r="B260" t="str">
            <v>Ⅸ-顺2</v>
          </cell>
          <cell r="C260">
            <v>0.15</v>
          </cell>
          <cell r="D260">
            <v>0.15</v>
          </cell>
          <cell r="E260">
            <v>0.15</v>
          </cell>
          <cell r="F260">
            <v>0.14199999999999999</v>
          </cell>
        </row>
        <row r="261">
          <cell r="B261" t="str">
            <v>Ⅸ-顺3</v>
          </cell>
          <cell r="C261">
            <v>0.15</v>
          </cell>
          <cell r="D261">
            <v>0.15</v>
          </cell>
          <cell r="E261">
            <v>0.14899999999999999</v>
          </cell>
          <cell r="F261">
            <v>0.14799999999999999</v>
          </cell>
        </row>
        <row r="262">
          <cell r="B262" t="str">
            <v>Ⅸ-顺4</v>
          </cell>
          <cell r="C262">
            <v>0.15</v>
          </cell>
          <cell r="D262">
            <v>0.15</v>
          </cell>
          <cell r="E262">
            <v>0.15</v>
          </cell>
        </row>
        <row r="263">
          <cell r="B263" t="str">
            <v>Ⅸ-兴1</v>
          </cell>
          <cell r="C263">
            <v>0.14899999999999999</v>
          </cell>
          <cell r="D263">
            <v>0.14899999999999999</v>
          </cell>
          <cell r="E263">
            <v>0.15</v>
          </cell>
          <cell r="F263">
            <v>0.13</v>
          </cell>
        </row>
        <row r="264">
          <cell r="B264" t="str">
            <v>Ⅸ-兴2</v>
          </cell>
          <cell r="C264">
            <v>0.14799999999999999</v>
          </cell>
          <cell r="D264">
            <v>0.14699999999999999</v>
          </cell>
          <cell r="E264">
            <v>0.15</v>
          </cell>
          <cell r="F264">
            <v>7.8E-2</v>
          </cell>
        </row>
        <row r="265">
          <cell r="B265" t="str">
            <v>Ⅸ-兴3</v>
          </cell>
          <cell r="C265">
            <v>0.15</v>
          </cell>
          <cell r="D265">
            <v>0.15</v>
          </cell>
          <cell r="E265">
            <v>0.15</v>
          </cell>
          <cell r="F265">
            <v>7.3999999999999996E-2</v>
          </cell>
        </row>
        <row r="266">
          <cell r="B266" t="str">
            <v>Ⅸ-兴4</v>
          </cell>
          <cell r="C266">
            <v>0.14699999999999999</v>
          </cell>
          <cell r="D266">
            <v>0.14699999999999999</v>
          </cell>
          <cell r="E266">
            <v>0.15</v>
          </cell>
          <cell r="F266">
            <v>0.14299999999999999</v>
          </cell>
        </row>
        <row r="267">
          <cell r="B267" t="str">
            <v>Ⅸ-兴5</v>
          </cell>
          <cell r="C267">
            <v>0.14199999999999999</v>
          </cell>
          <cell r="D267">
            <v>0.14299999999999999</v>
          </cell>
          <cell r="E267">
            <v>0.15</v>
          </cell>
        </row>
        <row r="268">
          <cell r="B268" t="str">
            <v>Ⅸ-昌1</v>
          </cell>
          <cell r="C268">
            <v>0.15</v>
          </cell>
          <cell r="D268">
            <v>0.15</v>
          </cell>
          <cell r="E268">
            <v>0.15</v>
          </cell>
          <cell r="F268">
            <v>0.13</v>
          </cell>
        </row>
        <row r="269">
          <cell r="B269" t="str">
            <v>Ⅸ-昌2</v>
          </cell>
          <cell r="C269">
            <v>0.15</v>
          </cell>
          <cell r="D269">
            <v>0.15</v>
          </cell>
          <cell r="E269">
            <v>0.15</v>
          </cell>
          <cell r="F269">
            <v>0.14299999999999999</v>
          </cell>
        </row>
        <row r="270">
          <cell r="B270" t="str">
            <v>Ⅸ-昌3</v>
          </cell>
          <cell r="C270">
            <v>0.14499999999999999</v>
          </cell>
          <cell r="D270">
            <v>0.14499999999999999</v>
          </cell>
          <cell r="E270">
            <v>0.15</v>
          </cell>
          <cell r="F270">
            <v>0.14699999999999999</v>
          </cell>
        </row>
        <row r="271">
          <cell r="B271" t="str">
            <v>Ⅸ-昌4</v>
          </cell>
          <cell r="C271">
            <v>0.15</v>
          </cell>
          <cell r="D271">
            <v>0.15</v>
          </cell>
          <cell r="E271">
            <v>0.15</v>
          </cell>
          <cell r="F271">
            <v>0.13800000000000001</v>
          </cell>
        </row>
        <row r="272">
          <cell r="B272" t="str">
            <v>Ⅸ-昌5</v>
          </cell>
          <cell r="F272">
            <v>0.14000000000000001</v>
          </cell>
        </row>
        <row r="273">
          <cell r="B273" t="str">
            <v>Ⅸ-昌南</v>
          </cell>
          <cell r="C273">
            <v>0.14199999999999999</v>
          </cell>
          <cell r="D273">
            <v>0.14299999999999999</v>
          </cell>
          <cell r="E273">
            <v>0.15</v>
          </cell>
          <cell r="F273">
            <v>0.1</v>
          </cell>
        </row>
        <row r="274">
          <cell r="B274" t="str">
            <v>Ⅸ-平1</v>
          </cell>
          <cell r="C274">
            <v>0.14799999999999999</v>
          </cell>
          <cell r="D274">
            <v>0.14799999999999999</v>
          </cell>
          <cell r="E274">
            <v>0.15</v>
          </cell>
          <cell r="F274">
            <v>6.7000000000000004E-2</v>
          </cell>
        </row>
        <row r="275">
          <cell r="B275" t="str">
            <v>Ⅸ-怀1</v>
          </cell>
          <cell r="C275">
            <v>0.15</v>
          </cell>
          <cell r="D275">
            <v>0.15</v>
          </cell>
          <cell r="E275">
            <v>0.15</v>
          </cell>
          <cell r="F275">
            <v>0.15</v>
          </cell>
        </row>
        <row r="276">
          <cell r="B276" t="str">
            <v>Ⅸ-密1</v>
          </cell>
          <cell r="C276">
            <v>0.14499999999999999</v>
          </cell>
          <cell r="D276">
            <v>0.14299999999999999</v>
          </cell>
          <cell r="E276">
            <v>0.15</v>
          </cell>
          <cell r="F276">
            <v>5.8999999999999997E-2</v>
          </cell>
        </row>
        <row r="277">
          <cell r="B277" t="str">
            <v>Ⅸ-延1</v>
          </cell>
          <cell r="C277">
            <v>0.15</v>
          </cell>
          <cell r="D277">
            <v>0.15</v>
          </cell>
          <cell r="E277">
            <v>0.15</v>
          </cell>
          <cell r="F277">
            <v>0.121</v>
          </cell>
        </row>
        <row r="278">
          <cell r="B278" t="str">
            <v>Ⅸ-亦1</v>
          </cell>
          <cell r="C278">
            <v>0.15</v>
          </cell>
          <cell r="D278">
            <v>0.15</v>
          </cell>
          <cell r="E278">
            <v>0.15</v>
          </cell>
          <cell r="F278">
            <v>0.13800000000000001</v>
          </cell>
        </row>
        <row r="279">
          <cell r="B279" t="str">
            <v>Ⅸ-房山工业园东</v>
          </cell>
          <cell r="F279">
            <v>0.05</v>
          </cell>
        </row>
        <row r="280">
          <cell r="B280" t="str">
            <v>Ⅸ-房山工业园西</v>
          </cell>
          <cell r="F280">
            <v>0.05</v>
          </cell>
        </row>
        <row r="281">
          <cell r="B281" t="str">
            <v>Ⅸ-通州开发区东</v>
          </cell>
          <cell r="F281">
            <v>0.05</v>
          </cell>
        </row>
        <row r="282">
          <cell r="B282" t="str">
            <v>Ⅸ-永乐开发区</v>
          </cell>
          <cell r="F282">
            <v>0.05</v>
          </cell>
        </row>
        <row r="283">
          <cell r="B283" t="str">
            <v>Ⅸ-采育开发区</v>
          </cell>
          <cell r="F283">
            <v>0.05</v>
          </cell>
        </row>
        <row r="284">
          <cell r="B284" t="str">
            <v>Ⅸ-兴谷开发区A</v>
          </cell>
          <cell r="F284">
            <v>0.05</v>
          </cell>
        </row>
        <row r="285">
          <cell r="B285" t="str">
            <v>Ⅸ-兴谷开发区B</v>
          </cell>
          <cell r="F285">
            <v>0.05</v>
          </cell>
        </row>
        <row r="286">
          <cell r="B286" t="str">
            <v>Ⅸ-雁栖开发区A</v>
          </cell>
          <cell r="F286">
            <v>0.05</v>
          </cell>
        </row>
        <row r="287">
          <cell r="B287" t="str">
            <v>Ⅸ-雁栖开发区B</v>
          </cell>
          <cell r="F287">
            <v>0.05</v>
          </cell>
        </row>
        <row r="288">
          <cell r="B288" t="str">
            <v>Ⅸ-雁栖开发区C</v>
          </cell>
          <cell r="F288">
            <v>0.05</v>
          </cell>
        </row>
        <row r="289">
          <cell r="B289" t="str">
            <v>Ⅸ-密云开发区</v>
          </cell>
          <cell r="F289">
            <v>0.05</v>
          </cell>
        </row>
        <row r="290">
          <cell r="B290" t="str">
            <v>Ⅹ-01</v>
          </cell>
          <cell r="C290">
            <v>0.15</v>
          </cell>
          <cell r="D290">
            <v>0.15</v>
          </cell>
          <cell r="E290">
            <v>0.15</v>
          </cell>
        </row>
        <row r="291">
          <cell r="B291" t="str">
            <v>Ⅹ-02</v>
          </cell>
          <cell r="C291">
            <v>0.15</v>
          </cell>
          <cell r="D291">
            <v>0.15</v>
          </cell>
          <cell r="E291">
            <v>0.15</v>
          </cell>
        </row>
        <row r="292">
          <cell r="B292" t="str">
            <v>Ⅹ-门1</v>
          </cell>
          <cell r="C292">
            <v>0.15</v>
          </cell>
          <cell r="D292">
            <v>0.15</v>
          </cell>
          <cell r="E292">
            <v>0.15</v>
          </cell>
          <cell r="F292">
            <v>0.14699999999999999</v>
          </cell>
        </row>
        <row r="293">
          <cell r="B293" t="str">
            <v>Ⅹ-门斋</v>
          </cell>
          <cell r="F293">
            <v>0.1</v>
          </cell>
        </row>
        <row r="294">
          <cell r="B294" t="str">
            <v>Ⅹ-房1</v>
          </cell>
          <cell r="C294">
            <v>0.15</v>
          </cell>
          <cell r="D294">
            <v>0.15</v>
          </cell>
          <cell r="E294">
            <v>0.15</v>
          </cell>
          <cell r="F294">
            <v>0.15</v>
          </cell>
        </row>
        <row r="295">
          <cell r="B295" t="str">
            <v>Ⅹ-房2</v>
          </cell>
          <cell r="C295">
            <v>0.15</v>
          </cell>
          <cell r="D295">
            <v>0.15</v>
          </cell>
          <cell r="E295">
            <v>0.15</v>
          </cell>
          <cell r="F295">
            <v>0.15</v>
          </cell>
        </row>
        <row r="296">
          <cell r="B296" t="str">
            <v>Ⅹ-通1</v>
          </cell>
          <cell r="C296">
            <v>0.15</v>
          </cell>
          <cell r="D296">
            <v>0.15</v>
          </cell>
          <cell r="E296">
            <v>0.15</v>
          </cell>
          <cell r="F296">
            <v>0.15</v>
          </cell>
        </row>
        <row r="297">
          <cell r="B297" t="str">
            <v>Ⅹ-顺1</v>
          </cell>
          <cell r="C297">
            <v>0.14799999999999999</v>
          </cell>
          <cell r="D297">
            <v>0.14899999999999999</v>
          </cell>
          <cell r="E297">
            <v>0.15</v>
          </cell>
          <cell r="F297">
            <v>0.13700000000000001</v>
          </cell>
        </row>
        <row r="298">
          <cell r="B298" t="str">
            <v>Ⅹ-顺2</v>
          </cell>
          <cell r="C298">
            <v>0.13400000000000001</v>
          </cell>
          <cell r="D298">
            <v>0.13400000000000001</v>
          </cell>
          <cell r="E298">
            <v>0.14499999999999999</v>
          </cell>
          <cell r="F298">
            <v>0.14799999999999999</v>
          </cell>
        </row>
        <row r="299">
          <cell r="B299" t="str">
            <v>Ⅹ-顺3</v>
          </cell>
          <cell r="C299">
            <v>0.15</v>
          </cell>
          <cell r="D299">
            <v>0.15</v>
          </cell>
          <cell r="E299">
            <v>0.15</v>
          </cell>
        </row>
        <row r="300">
          <cell r="B300" t="str">
            <v>Ⅹ-兴1</v>
          </cell>
          <cell r="C300">
            <v>0.15</v>
          </cell>
          <cell r="D300">
            <v>0.15</v>
          </cell>
          <cell r="E300">
            <v>0.15</v>
          </cell>
          <cell r="F300">
            <v>0.15</v>
          </cell>
        </row>
        <row r="301">
          <cell r="B301" t="str">
            <v>Ⅹ-兴2</v>
          </cell>
          <cell r="C301">
            <v>0.15</v>
          </cell>
          <cell r="D301">
            <v>0.15</v>
          </cell>
          <cell r="E301">
            <v>0.15</v>
          </cell>
        </row>
        <row r="302">
          <cell r="B302" t="str">
            <v>Ⅹ-昌1</v>
          </cell>
          <cell r="C302">
            <v>0.15</v>
          </cell>
          <cell r="D302">
            <v>0.15</v>
          </cell>
          <cell r="E302">
            <v>0.15</v>
          </cell>
          <cell r="F302">
            <v>0.15</v>
          </cell>
        </row>
        <row r="303">
          <cell r="B303" t="str">
            <v>Ⅹ-昌2</v>
          </cell>
          <cell r="C303">
            <v>0.15</v>
          </cell>
          <cell r="D303">
            <v>0.15</v>
          </cell>
          <cell r="E303">
            <v>0.15</v>
          </cell>
          <cell r="F303">
            <v>0.15</v>
          </cell>
        </row>
        <row r="304">
          <cell r="B304" t="str">
            <v>Ⅹ-昌3</v>
          </cell>
          <cell r="C304">
            <v>0.15</v>
          </cell>
          <cell r="D304">
            <v>0.15</v>
          </cell>
          <cell r="E304">
            <v>0.15</v>
          </cell>
        </row>
        <row r="305">
          <cell r="B305" t="str">
            <v>Ⅹ-平1</v>
          </cell>
          <cell r="C305">
            <v>0.15</v>
          </cell>
          <cell r="D305">
            <v>0.15</v>
          </cell>
          <cell r="E305">
            <v>0.15</v>
          </cell>
          <cell r="F305">
            <v>0.14000000000000001</v>
          </cell>
        </row>
        <row r="306">
          <cell r="B306" t="str">
            <v>Ⅹ-平2</v>
          </cell>
          <cell r="C306">
            <v>0.15</v>
          </cell>
          <cell r="D306">
            <v>0.15</v>
          </cell>
          <cell r="E306">
            <v>0.15</v>
          </cell>
        </row>
        <row r="307">
          <cell r="B307" t="str">
            <v>Ⅹ-怀1</v>
          </cell>
          <cell r="C307">
            <v>0.15</v>
          </cell>
          <cell r="D307">
            <v>0.15</v>
          </cell>
          <cell r="E307">
            <v>0.15</v>
          </cell>
          <cell r="F307">
            <v>0.14299999999999999</v>
          </cell>
        </row>
        <row r="308">
          <cell r="B308" t="str">
            <v>Ⅹ-怀2</v>
          </cell>
          <cell r="C308">
            <v>0.15</v>
          </cell>
          <cell r="D308">
            <v>0.15</v>
          </cell>
          <cell r="E308">
            <v>0.15</v>
          </cell>
          <cell r="F308">
            <v>0.15</v>
          </cell>
        </row>
        <row r="309">
          <cell r="B309" t="str">
            <v>Ⅹ-怀3</v>
          </cell>
          <cell r="C309">
            <v>0.15</v>
          </cell>
          <cell r="D309">
            <v>0.15</v>
          </cell>
          <cell r="E309">
            <v>0.15</v>
          </cell>
        </row>
        <row r="310">
          <cell r="B310" t="str">
            <v>Ⅹ-密1</v>
          </cell>
          <cell r="C310">
            <v>0.15</v>
          </cell>
          <cell r="D310">
            <v>0.15</v>
          </cell>
          <cell r="E310">
            <v>0.15</v>
          </cell>
          <cell r="F310">
            <v>0.13700000000000001</v>
          </cell>
        </row>
        <row r="311">
          <cell r="B311" t="str">
            <v>Ⅹ-延1</v>
          </cell>
          <cell r="C311">
            <v>0.15</v>
          </cell>
          <cell r="D311">
            <v>0.15</v>
          </cell>
          <cell r="E311">
            <v>0.15</v>
          </cell>
          <cell r="F311">
            <v>0.15</v>
          </cell>
        </row>
        <row r="312">
          <cell r="B312" t="str">
            <v>Ⅹ-延2</v>
          </cell>
          <cell r="C312">
            <v>0.15</v>
          </cell>
          <cell r="D312">
            <v>0.15</v>
          </cell>
          <cell r="E312">
            <v>0.15</v>
          </cell>
          <cell r="F312">
            <v>0.1</v>
          </cell>
        </row>
        <row r="313">
          <cell r="B313" t="str">
            <v>Ⅹ-亦1</v>
          </cell>
          <cell r="C313">
            <v>0.15</v>
          </cell>
          <cell r="D313">
            <v>0.15</v>
          </cell>
          <cell r="E313">
            <v>0.15</v>
          </cell>
          <cell r="F313">
            <v>0.15</v>
          </cell>
        </row>
        <row r="314">
          <cell r="B314" t="str">
            <v>Ⅹ-马坊工业园</v>
          </cell>
          <cell r="F314">
            <v>0.05</v>
          </cell>
        </row>
        <row r="315">
          <cell r="B315" t="str">
            <v>Ⅹ-延庆开发区</v>
          </cell>
          <cell r="F315">
            <v>0.05</v>
          </cell>
        </row>
        <row r="316">
          <cell r="B316" t="str">
            <v>Ⅹ-八达岭开发区</v>
          </cell>
          <cell r="F316">
            <v>0.05</v>
          </cell>
        </row>
        <row r="317">
          <cell r="B317" t="str">
            <v>Ⅺ-门1</v>
          </cell>
          <cell r="C317">
            <v>0.15</v>
          </cell>
          <cell r="D317">
            <v>0.15</v>
          </cell>
          <cell r="E317">
            <v>0.15</v>
          </cell>
          <cell r="F317">
            <v>0.15</v>
          </cell>
        </row>
        <row r="318">
          <cell r="B318" t="str">
            <v>Ⅺ-门斋</v>
          </cell>
          <cell r="C318">
            <v>0.107</v>
          </cell>
          <cell r="D318">
            <v>0.11</v>
          </cell>
          <cell r="E318">
            <v>0.112</v>
          </cell>
        </row>
        <row r="319">
          <cell r="B319" t="str">
            <v>Ⅺ-房1</v>
          </cell>
          <cell r="C319">
            <v>0.15</v>
          </cell>
          <cell r="D319">
            <v>0.15</v>
          </cell>
          <cell r="E319">
            <v>0.15</v>
          </cell>
          <cell r="F319">
            <v>0.15</v>
          </cell>
        </row>
        <row r="320">
          <cell r="B320" t="str">
            <v>Ⅺ-房2</v>
          </cell>
          <cell r="C320">
            <v>0.15</v>
          </cell>
          <cell r="D320">
            <v>0.15</v>
          </cell>
          <cell r="E320">
            <v>0.15</v>
          </cell>
        </row>
        <row r="321">
          <cell r="B321" t="str">
            <v>Ⅺ-通1</v>
          </cell>
          <cell r="C321">
            <v>0.15</v>
          </cell>
          <cell r="D321">
            <v>0.15</v>
          </cell>
          <cell r="E321">
            <v>0.15</v>
          </cell>
        </row>
        <row r="322">
          <cell r="B322" t="str">
            <v>Ⅺ-顺1</v>
          </cell>
          <cell r="C322">
            <v>0.15</v>
          </cell>
          <cell r="D322">
            <v>0.15</v>
          </cell>
          <cell r="E322">
            <v>0.15</v>
          </cell>
          <cell r="F322">
            <v>0.15</v>
          </cell>
        </row>
        <row r="323">
          <cell r="B323" t="str">
            <v>Ⅺ-兴1</v>
          </cell>
          <cell r="C323">
            <v>0.15</v>
          </cell>
          <cell r="D323">
            <v>0.15</v>
          </cell>
          <cell r="E323">
            <v>0.15</v>
          </cell>
        </row>
        <row r="324">
          <cell r="B324" t="str">
            <v>Ⅺ-兴2</v>
          </cell>
          <cell r="C324">
            <v>0.15</v>
          </cell>
          <cell r="D324">
            <v>0.15</v>
          </cell>
          <cell r="E324">
            <v>0.15</v>
          </cell>
        </row>
        <row r="325">
          <cell r="B325" t="str">
            <v>Ⅺ-昌1</v>
          </cell>
          <cell r="C325">
            <v>0.15</v>
          </cell>
          <cell r="D325">
            <v>0.15</v>
          </cell>
          <cell r="E325">
            <v>0.15</v>
          </cell>
          <cell r="F325">
            <v>0.14699999999999999</v>
          </cell>
        </row>
        <row r="326">
          <cell r="B326" t="str">
            <v>Ⅺ-昌2</v>
          </cell>
          <cell r="C326">
            <v>0.15</v>
          </cell>
          <cell r="D326">
            <v>0.15</v>
          </cell>
          <cell r="E326">
            <v>0.15</v>
          </cell>
        </row>
        <row r="327">
          <cell r="B327" t="str">
            <v>Ⅺ-平1</v>
          </cell>
          <cell r="C327">
            <v>0.15</v>
          </cell>
          <cell r="D327">
            <v>0.15</v>
          </cell>
          <cell r="E327">
            <v>0.15</v>
          </cell>
          <cell r="F327">
            <v>0.15</v>
          </cell>
        </row>
        <row r="328">
          <cell r="B328" t="str">
            <v>Ⅺ-平2</v>
          </cell>
          <cell r="C328">
            <v>0.15</v>
          </cell>
          <cell r="D328">
            <v>0.15</v>
          </cell>
          <cell r="E328">
            <v>0.15</v>
          </cell>
          <cell r="F328">
            <v>0.14099999999999999</v>
          </cell>
        </row>
        <row r="329">
          <cell r="B329" t="str">
            <v>Ⅺ-平3</v>
          </cell>
          <cell r="C329">
            <v>0.15</v>
          </cell>
          <cell r="D329">
            <v>0.15</v>
          </cell>
          <cell r="E329">
            <v>0.15</v>
          </cell>
          <cell r="F329">
            <v>0.15</v>
          </cell>
        </row>
        <row r="330">
          <cell r="B330" t="str">
            <v>Ⅺ-平4</v>
          </cell>
          <cell r="C330">
            <v>0.15</v>
          </cell>
          <cell r="D330">
            <v>0.15</v>
          </cell>
          <cell r="E330">
            <v>0.15</v>
          </cell>
        </row>
        <row r="331">
          <cell r="B331" t="str">
            <v>Ⅺ-怀1</v>
          </cell>
          <cell r="C331">
            <v>0.15</v>
          </cell>
          <cell r="D331">
            <v>0.15</v>
          </cell>
          <cell r="E331">
            <v>0.15</v>
          </cell>
          <cell r="F331">
            <v>0.15</v>
          </cell>
        </row>
        <row r="332">
          <cell r="B332" t="str">
            <v>Ⅺ-怀2</v>
          </cell>
          <cell r="C332">
            <v>0.15</v>
          </cell>
          <cell r="D332">
            <v>0.15</v>
          </cell>
          <cell r="E332">
            <v>0.15</v>
          </cell>
          <cell r="F332">
            <v>0.15</v>
          </cell>
        </row>
        <row r="333">
          <cell r="B333" t="str">
            <v>Ⅺ-密1</v>
          </cell>
          <cell r="C333">
            <v>0.15</v>
          </cell>
          <cell r="D333">
            <v>0.15</v>
          </cell>
          <cell r="E333">
            <v>0.15</v>
          </cell>
          <cell r="F333">
            <v>0.14099999999999999</v>
          </cell>
        </row>
        <row r="334">
          <cell r="B334" t="str">
            <v>Ⅺ-密2</v>
          </cell>
          <cell r="C334">
            <v>0.15</v>
          </cell>
          <cell r="D334">
            <v>0.15</v>
          </cell>
          <cell r="E334">
            <v>0.15</v>
          </cell>
          <cell r="F334">
            <v>0.15</v>
          </cell>
        </row>
        <row r="335">
          <cell r="B335" t="str">
            <v>Ⅺ-密3</v>
          </cell>
          <cell r="C335">
            <v>0.15</v>
          </cell>
          <cell r="D335">
            <v>0.15</v>
          </cell>
          <cell r="E335">
            <v>0.15</v>
          </cell>
        </row>
        <row r="336">
          <cell r="B336" t="str">
            <v>Ⅺ-延1</v>
          </cell>
          <cell r="C336">
            <v>0.15</v>
          </cell>
          <cell r="D336">
            <v>0.15</v>
          </cell>
          <cell r="E336">
            <v>0.15</v>
          </cell>
          <cell r="F336">
            <v>0.11799999999999999</v>
          </cell>
        </row>
        <row r="337">
          <cell r="B337" t="str">
            <v>Ⅺ-延2</v>
          </cell>
          <cell r="F337">
            <v>0.14299999999999999</v>
          </cell>
        </row>
        <row r="338">
          <cell r="B338" t="str">
            <v>Ⅻ-门1</v>
          </cell>
          <cell r="C338">
            <v>0.15</v>
          </cell>
          <cell r="D338">
            <v>0.15</v>
          </cell>
          <cell r="E338">
            <v>0.15</v>
          </cell>
        </row>
        <row r="339">
          <cell r="B339" t="str">
            <v>Ⅻ-房1</v>
          </cell>
          <cell r="C339">
            <v>0.15</v>
          </cell>
          <cell r="D339">
            <v>0.15</v>
          </cell>
          <cell r="E339">
            <v>0.15</v>
          </cell>
        </row>
        <row r="340">
          <cell r="B340" t="str">
            <v>Ⅻ-昌1</v>
          </cell>
          <cell r="C340">
            <v>0.15</v>
          </cell>
          <cell r="D340">
            <v>0.15</v>
          </cell>
          <cell r="E340">
            <v>0.15</v>
          </cell>
        </row>
        <row r="341">
          <cell r="B341" t="str">
            <v>Ⅻ-平1</v>
          </cell>
          <cell r="C341">
            <v>0.15</v>
          </cell>
          <cell r="D341">
            <v>0.15</v>
          </cell>
          <cell r="E341">
            <v>0.15</v>
          </cell>
          <cell r="F341">
            <v>0.15</v>
          </cell>
        </row>
        <row r="342">
          <cell r="B342" t="str">
            <v>Ⅻ-怀1</v>
          </cell>
          <cell r="C342">
            <v>0.15</v>
          </cell>
          <cell r="D342">
            <v>0.15</v>
          </cell>
          <cell r="E342">
            <v>0.15</v>
          </cell>
          <cell r="F342">
            <v>0.15</v>
          </cell>
        </row>
        <row r="343">
          <cell r="B343" t="str">
            <v>Ⅻ-密1</v>
          </cell>
          <cell r="C343">
            <v>0.15</v>
          </cell>
          <cell r="D343">
            <v>0.15</v>
          </cell>
          <cell r="E343">
            <v>0.15</v>
          </cell>
          <cell r="F343">
            <v>0.15</v>
          </cell>
        </row>
        <row r="344">
          <cell r="B344" t="str">
            <v>Ⅻ-延1</v>
          </cell>
          <cell r="C344">
            <v>0.15</v>
          </cell>
          <cell r="D344">
            <v>0.15</v>
          </cell>
          <cell r="E344">
            <v>0.15</v>
          </cell>
          <cell r="F344">
            <v>0.15</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收益法商业"/>
      <sheetName val="成本法"/>
      <sheetName val="成本法 (元)"/>
      <sheetName val="基准地价修正"/>
      <sheetName val="假设开发法"/>
      <sheetName val="基准地价修正 (2)"/>
      <sheetName val="收益法 (元)"/>
      <sheetName val="收益法（汇总）"/>
      <sheetName val="酒店收入计算"/>
      <sheetName val="比较法-商业"/>
      <sheetName val="收益法办公"/>
      <sheetName val="比较法-办公 (租金)"/>
      <sheetName val="比较法-办公"/>
      <sheetName val="比较法-工业"/>
      <sheetName val="比较法-联排"/>
      <sheetName val="收益法-联排"/>
      <sheetName val="比较法-车位"/>
      <sheetName val="收益法-车库"/>
      <sheetName val="收益法仓储"/>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D19">
            <v>2087.48</v>
          </cell>
          <cell r="F19">
            <v>11000.49</v>
          </cell>
        </row>
      </sheetData>
      <sheetData sheetId="14" refreshError="1"/>
      <sheetData sheetId="15" refreshError="1"/>
      <sheetData sheetId="16" refreshError="1"/>
      <sheetData sheetId="17"/>
      <sheetData sheetId="18" refreshError="1"/>
      <sheetData sheetId="19" refreshError="1"/>
      <sheetData sheetId="20">
        <row r="51">
          <cell r="C51">
            <v>2651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出让国有建设用地使用权及在建建筑物房地产抵押价值预评估</v>
      </c>
    </row>
    <row r="3" spans="1:2" s="1593" customFormat="1">
      <c r="A3" s="1591" t="s">
        <v>1222</v>
      </c>
      <c r="B3" s="1592" t="str">
        <f>'预评函-封皮'!B40</f>
        <v>北京国锐房地产开发有限公司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受贵公司委托，我公司对出让国有建设用地使用权及在建建筑物房地产抵押价值进行了预评估。</v>
      </c>
    </row>
    <row r="7" spans="1:2" s="1593" customFormat="1">
      <c r="A7" s="1591" t="s">
        <v>1265</v>
      </c>
      <c r="B7" s="1592" t="str">
        <f>'预评函-1'!A7</f>
        <v>估价对象为出让国有建设用地使用权及在建建筑物房地产，为所有。根据《国有土地使用证》[]，估价对象（分摊）出让国有建设用地使用权面积为15080.97平方米，建筑面积为79847.06平方米。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为估价委托人在向工行办理贷款手续过程中，确定房地产抵押贷款额度提供参考依据而评估房地产抵押价值。</v>
      </c>
    </row>
    <row r="12" spans="1:2" s="1593" customFormat="1">
      <c r="A12" s="1591" t="s">
        <v>1227</v>
      </c>
      <c r="B12" s="1592" t="str">
        <f>'预评函-1'!A15</f>
        <v>2018年1月10日（评估专业人员实地查勘之日）</v>
      </c>
    </row>
    <row r="13" spans="1:2" s="1593" customFormat="1">
      <c r="A13" s="1591" t="s">
        <v>1228</v>
      </c>
      <c r="B13" s="1592" t="str">
        <f>'预评函-1'!A18</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本次评估采用的主估价方法为成本法和假设开发法。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217994</v>
      </c>
    </row>
    <row r="21" spans="1:2" s="1593" customFormat="1">
      <c r="A21" s="1591" t="s">
        <v>1236</v>
      </c>
      <c r="B21" s="1592">
        <f ca="1">'预评函-2'!D7</f>
        <v>27301</v>
      </c>
    </row>
    <row r="22" spans="1:2" s="1593" customFormat="1">
      <c r="A22" s="1591" t="s">
        <v>1237</v>
      </c>
      <c r="B22" s="1592" t="str">
        <f ca="1">'预评函-2'!D6</f>
        <v>贰拾壹亿柒仟玖佰玖拾肆万元整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217994</v>
      </c>
    </row>
    <row r="31" spans="1:2" s="1593" customFormat="1">
      <c r="A31" s="1591" t="s">
        <v>1275</v>
      </c>
      <c r="B31" s="1592">
        <f ca="1">'预评函-2'!D15</f>
        <v>27301</v>
      </c>
    </row>
    <row r="32" spans="1:2" s="1593" customFormat="1">
      <c r="A32" s="1591" t="s">
        <v>1242</v>
      </c>
      <c r="B32" s="1592" t="str">
        <f ca="1">'预评函-2'!D14</f>
        <v>贰拾壹亿柒仟玖佰玖拾肆万元整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出让国有建设用地使用权及在建建筑物房地产</v>
      </c>
    </row>
    <row r="42" spans="1:2" s="1593" customFormat="1">
      <c r="A42" s="1591" t="s">
        <v>1289</v>
      </c>
      <c r="B42" s="1592" t="str">
        <f>'预评函-3'!B2</f>
        <v>建筑面积</v>
      </c>
    </row>
    <row r="43" spans="1:2" s="1593" customFormat="1">
      <c r="A43" s="1591" t="s">
        <v>1290</v>
      </c>
      <c r="B43" s="1592">
        <f>'预评函-3'!B4</f>
        <v>79847.06</v>
      </c>
    </row>
    <row r="44" spans="1:2" s="1593" customFormat="1">
      <c r="A44" s="1591" t="s">
        <v>1274</v>
      </c>
      <c r="B44" s="1592" t="str">
        <f>'预评函-3'!C2</f>
        <v>(分摊)土地面积</v>
      </c>
    </row>
    <row r="45" spans="1:2" s="1593" customFormat="1">
      <c r="A45" s="1591" t="s">
        <v>1246</v>
      </c>
      <c r="B45" s="1592">
        <f>'预评函-3'!C4</f>
        <v>15080.97</v>
      </c>
    </row>
    <row r="46" spans="1:2" s="1593" customFormat="1">
      <c r="A46" s="1591" t="s">
        <v>1272</v>
      </c>
      <c r="B46" s="1592" t="str">
        <f>'预评函-3'!D2</f>
        <v>出让国有建设用地使用权价值</v>
      </c>
    </row>
    <row r="47" spans="1:2" s="1593" customFormat="1">
      <c r="A47" s="1591" t="s">
        <v>1247</v>
      </c>
      <c r="B47" s="1592" t="e">
        <f ca="1">'预评函-3'!D4</f>
        <v>#REF!</v>
      </c>
    </row>
    <row r="48" spans="1:2" s="1593" customFormat="1">
      <c r="A48" s="1591" t="s">
        <v>1248</v>
      </c>
      <c r="B48" s="1592" t="e">
        <f ca="1">'预评函-3'!E4</f>
        <v>#REF!</v>
      </c>
    </row>
    <row r="49" spans="1:2" s="1593" customFormat="1">
      <c r="A49" s="1591" t="s">
        <v>1249</v>
      </c>
      <c r="B49" s="1592" t="e">
        <f ca="1">'预评函-3'!D5</f>
        <v>#REF!</v>
      </c>
    </row>
    <row r="50" spans="1:2" s="1593" customFormat="1">
      <c r="A50" s="1591" t="s">
        <v>1273</v>
      </c>
      <c r="B50" s="1592" t="str">
        <f>'预评函-3'!F2</f>
        <v>在建建筑物价值</v>
      </c>
    </row>
    <row r="51" spans="1:2" s="1593" customFormat="1">
      <c r="A51" s="1591" t="s">
        <v>1250</v>
      </c>
      <c r="B51" s="1592" t="e">
        <f ca="1">'预评函-3'!F4</f>
        <v>#REF!</v>
      </c>
    </row>
    <row r="52" spans="1:2" s="1593" customFormat="1">
      <c r="A52" s="1591" t="s">
        <v>1251</v>
      </c>
      <c r="B52" s="1592" t="e">
        <f ca="1">'预评函-3'!G4</f>
        <v>#REF!</v>
      </c>
    </row>
    <row r="53" spans="1:2" s="1593" customFormat="1">
      <c r="A53" s="1591" t="s">
        <v>1279</v>
      </c>
      <c r="B53" s="1592" t="e">
        <f ca="1">'预评函-3'!F5</f>
        <v>#REF!</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7" t="s">
        <v>3670</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3672</v>
      </c>
      <c r="C17" s="2015"/>
    </row>
    <row r="18" spans="1:3">
      <c r="A18" s="2014" t="s">
        <v>1768</v>
      </c>
      <c r="B18" s="2014" t="s">
        <v>3674</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出让国有建设用地使用权及在建建筑物房地产作为抵押担保物，向工行办理贷款手续。工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70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XX年(多用途剩余年限尾数不同时，可只体现小数点后一位)，假定未设立法定优先受偿款下的房地产市场价值。</v>
      </c>
    </row>
    <row r="54" spans="1:4">
      <c r="A54" s="3701"/>
      <c r="B54" s="2022" t="s">
        <v>864</v>
      </c>
      <c r="C54" s="2019" t="s">
        <v>1282</v>
      </c>
    </row>
    <row r="55" spans="1:4">
      <c r="A55" s="3701"/>
      <c r="B55" s="2022" t="s">
        <v>865</v>
      </c>
      <c r="C55" s="2019" t="s">
        <v>1283</v>
      </c>
    </row>
    <row r="56" spans="1:4">
      <c r="A56" s="3701"/>
      <c r="B56" s="2022" t="s">
        <v>866</v>
      </c>
      <c r="C56" s="2019" t="s">
        <v>1287</v>
      </c>
    </row>
    <row r="57" spans="1:4">
      <c r="A57" s="3701"/>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C27" sqref="C27"/>
    </sheetView>
  </sheetViews>
  <sheetFormatPr defaultColWidth="10" defaultRowHeight="18" customHeight="1"/>
  <cols>
    <col min="1" max="1" width="14.875" style="2032" customWidth="1"/>
    <col min="2" max="2" width="12.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1777</v>
      </c>
      <c r="B1" s="3710" t="str">
        <f>IF(B10="北京市","北京市",C10)&amp;F10&amp;IF(结果表!G1="在建","出让国有建设用地使用权及在建建筑物",IF(结果表!G1="土地","出让国有建设用地使用权",))&amp;B9&amp;"预评估"</f>
        <v>出让国有建设用地使用权及在建建筑物房地产抵押价值预评估</v>
      </c>
      <c r="C1" s="3711"/>
      <c r="D1" s="3711"/>
      <c r="E1" s="3711"/>
      <c r="F1" s="3711"/>
      <c r="G1" s="3711"/>
      <c r="H1" s="3711"/>
      <c r="I1" s="371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1779</v>
      </c>
      <c r="B3" s="2036">
        <v>43110</v>
      </c>
      <c r="C3" s="2037" t="s">
        <v>1780</v>
      </c>
      <c r="D3" s="2036">
        <f>B3</f>
        <v>43110</v>
      </c>
      <c r="E3" s="2026"/>
      <c r="F3" s="2026"/>
      <c r="G3" s="2026"/>
      <c r="H3" s="2026"/>
      <c r="I3" s="2026"/>
      <c r="J3" s="2026"/>
      <c r="K3" s="2027"/>
      <c r="L3" s="2028"/>
      <c r="M3" s="2028"/>
      <c r="N3" s="2029"/>
      <c r="O3" s="2030"/>
      <c r="P3" s="2029"/>
      <c r="Q3" s="2029"/>
      <c r="R3" s="2029"/>
      <c r="S3" s="2031"/>
    </row>
    <row r="4" spans="1:19" ht="18" customHeight="1" thickBot="1">
      <c r="A4" s="2038" t="s">
        <v>1781</v>
      </c>
      <c r="B4" s="2039" t="s">
        <v>3043</v>
      </c>
      <c r="C4" s="1036">
        <f ca="1">SUMIF(注册房地产估价师,B4,估价师及机构信息!B3:B24)</f>
        <v>1120140022</v>
      </c>
      <c r="D4" s="2039" t="s">
        <v>3044</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3276" t="s">
        <v>3269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3277" t="s">
        <v>3270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1785</v>
      </c>
      <c r="B8" s="2053" t="s">
        <v>3045</v>
      </c>
      <c r="C8" s="2054"/>
      <c r="D8" s="3713" t="s">
        <v>1786</v>
      </c>
      <c r="E8" s="2055" t="s">
        <v>3046</v>
      </c>
      <c r="F8" s="2056"/>
      <c r="G8" s="2026"/>
      <c r="H8" s="2026"/>
      <c r="I8" s="2026"/>
      <c r="J8" s="2042"/>
      <c r="K8" s="2043"/>
      <c r="L8" s="2028"/>
      <c r="M8" s="2028"/>
      <c r="N8" s="2029"/>
      <c r="O8" s="2030"/>
      <c r="P8" s="2029"/>
      <c r="Q8" s="2029"/>
      <c r="R8" s="2029"/>
    </row>
    <row r="9" spans="1:19" ht="18" customHeight="1" thickBot="1">
      <c r="A9" s="2040" t="s">
        <v>1787</v>
      </c>
      <c r="B9" s="2057" t="s">
        <v>3046</v>
      </c>
      <c r="C9" s="2058"/>
      <c r="D9" s="3714"/>
      <c r="E9" s="2057" t="s">
        <v>70</v>
      </c>
      <c r="F9" s="2059"/>
      <c r="G9" s="2060"/>
      <c r="H9" s="2060"/>
      <c r="I9" s="2060"/>
      <c r="J9" s="2042"/>
      <c r="K9" s="2052"/>
      <c r="L9" s="2028"/>
      <c r="M9" s="2028"/>
      <c r="N9" s="2029"/>
      <c r="O9" s="2030"/>
      <c r="P9" s="2029"/>
      <c r="Q9" s="2029"/>
      <c r="R9" s="2029"/>
    </row>
    <row r="10" spans="1:19" ht="18" customHeight="1" thickTop="1">
      <c r="A10" s="2061" t="s">
        <v>1788</v>
      </c>
      <c r="B10" s="2062" t="s">
        <v>3047</v>
      </c>
      <c r="C10" s="2063"/>
      <c r="D10" s="2046"/>
      <c r="E10" s="2064" t="s">
        <v>1789</v>
      </c>
      <c r="F10" s="2065"/>
      <c r="G10" s="2066"/>
      <c r="H10" s="2067"/>
      <c r="I10" s="2046"/>
      <c r="J10" s="2042"/>
      <c r="K10" s="2052"/>
      <c r="L10" s="2028"/>
      <c r="M10" s="2028"/>
      <c r="N10" s="2029"/>
      <c r="O10" s="2030"/>
      <c r="P10" s="2029"/>
      <c r="Q10" s="2029"/>
      <c r="R10" s="2029"/>
    </row>
    <row r="11" spans="1:19" ht="18" customHeight="1">
      <c r="A11" s="2068" t="s">
        <v>1790</v>
      </c>
      <c r="B11" s="2069" t="s">
        <v>3048</v>
      </c>
      <c r="C11" s="2070"/>
      <c r="D11" s="2071"/>
      <c r="E11" s="2042"/>
      <c r="F11" s="2042"/>
      <c r="G11" s="2042"/>
      <c r="H11" s="2042"/>
      <c r="I11" s="2042"/>
      <c r="J11" s="2042"/>
      <c r="K11" s="2052"/>
      <c r="L11" s="2028"/>
      <c r="M11" s="2028"/>
      <c r="N11" s="2029"/>
      <c r="O11" s="2030"/>
      <c r="P11" s="2029"/>
      <c r="Q11" s="2029"/>
      <c r="R11" s="2029"/>
    </row>
    <row r="12" spans="1:19" ht="18" customHeight="1">
      <c r="A12" s="2072" t="s">
        <v>1791</v>
      </c>
      <c r="B12" s="2069" t="s">
        <v>3049</v>
      </c>
      <c r="C12" s="2073" t="s">
        <v>1792</v>
      </c>
      <c r="D12" s="2074" t="s">
        <v>1793</v>
      </c>
      <c r="E12" s="2074" t="s">
        <v>1794</v>
      </c>
      <c r="F12" s="2074" t="s">
        <v>1795</v>
      </c>
      <c r="G12" s="2074" t="s">
        <v>1796</v>
      </c>
      <c r="H12" s="2074" t="s">
        <v>1797</v>
      </c>
      <c r="I12" s="2074" t="s">
        <v>1798</v>
      </c>
      <c r="J12" s="2042"/>
      <c r="K12" s="2052"/>
      <c r="L12" s="2028"/>
      <c r="M12" s="2028"/>
      <c r="N12" s="2029"/>
      <c r="O12" s="2030"/>
      <c r="P12" s="2029"/>
      <c r="Q12" s="2029"/>
      <c r="R12" s="2029"/>
    </row>
    <row r="13" spans="1:19" ht="18" customHeight="1">
      <c r="A13" s="2075"/>
      <c r="B13" s="2076"/>
      <c r="C13" s="2077" t="s">
        <v>1799</v>
      </c>
      <c r="D13" s="2078"/>
      <c r="E13" s="2078">
        <v>54595</v>
      </c>
      <c r="F13" s="2078">
        <v>58247</v>
      </c>
      <c r="G13" s="2078"/>
      <c r="H13" s="2078">
        <v>58247</v>
      </c>
      <c r="I13" s="1046"/>
      <c r="J13" s="2042"/>
      <c r="K13" s="2052"/>
      <c r="L13" s="2028"/>
      <c r="M13" s="2028"/>
      <c r="N13" s="2029"/>
      <c r="O13" s="2030"/>
      <c r="P13" s="2029"/>
      <c r="Q13" s="2029"/>
      <c r="R13" s="2029"/>
    </row>
    <row r="14" spans="1:19" ht="18" customHeight="1">
      <c r="A14" s="2075"/>
      <c r="B14" s="2076"/>
      <c r="C14" s="2077" t="s">
        <v>1800</v>
      </c>
      <c r="D14" s="1049"/>
      <c r="E14" s="1049">
        <v>40</v>
      </c>
      <c r="F14" s="1049">
        <v>50</v>
      </c>
      <c r="G14" s="1049">
        <v>50</v>
      </c>
      <c r="H14" s="1049">
        <v>50</v>
      </c>
      <c r="I14" s="1049"/>
      <c r="J14" s="2042"/>
      <c r="K14" s="2079"/>
      <c r="L14" s="2028"/>
      <c r="M14" s="2028"/>
      <c r="N14" s="2029"/>
      <c r="O14" s="2030"/>
      <c r="P14" s="2029"/>
      <c r="Q14" s="2029"/>
      <c r="R14" s="2029"/>
    </row>
    <row r="15" spans="1:19" ht="18" customHeight="1">
      <c r="A15" s="2061"/>
      <c r="B15" s="2080"/>
      <c r="C15" s="2077" t="s">
        <v>1801</v>
      </c>
      <c r="D15" s="1048" t="str">
        <f>IF(B12="出让",IF(D13="","",ROUNDDOWN(MIN((D13-$D$3)/365,D14),2)),D14)</f>
        <v/>
      </c>
      <c r="E15" s="1048">
        <f>IF(B12="出让",IF(E13="","",ROUNDDOWN(MIN((E13-$D$3)/365,E14),2)),E14)</f>
        <v>31.46</v>
      </c>
      <c r="F15" s="1048">
        <f>IF(B12="出让",IF(F13="","",ROUNDDOWN(MIN((F13-$D$3)/365,F14),2)),F14)</f>
        <v>41.47</v>
      </c>
      <c r="G15" s="1048" t="str">
        <f>IF(B12="出让",IF(G13="","",ROUNDDOWN(MIN((G13-$D$3)/365,G14),2)),G14)</f>
        <v/>
      </c>
      <c r="H15" s="1048">
        <f>IF(B12="出让",IF(H13="","",ROUNDDOWN(MIN((H13-$D$3)/365,H14),2)),H14)</f>
        <v>41.47</v>
      </c>
      <c r="I15" s="1048" t="str">
        <f>IF(B12="出让",IF(I13="","",ROUNDDOWN(MIN((I13-$D$3)/365,I14),2)),I14)</f>
        <v/>
      </c>
      <c r="J15" s="2042"/>
      <c r="K15" s="2081"/>
      <c r="L15" s="2082"/>
      <c r="M15" s="2082"/>
      <c r="N15" s="2083"/>
      <c r="O15" s="2082"/>
      <c r="P15" s="2083"/>
      <c r="Q15" s="2029"/>
      <c r="R15" s="2029"/>
    </row>
    <row r="16" spans="1:19" ht="30.75" customHeight="1">
      <c r="A16" s="2064" t="s">
        <v>1802</v>
      </c>
      <c r="B16" s="3720" t="s">
        <v>3271</v>
      </c>
      <c r="C16" s="3721"/>
      <c r="D16" s="3722"/>
      <c r="E16" s="2084" t="s">
        <v>1803</v>
      </c>
      <c r="F16" s="3723"/>
      <c r="G16" s="3724"/>
      <c r="H16" s="3724"/>
      <c r="I16" s="3725"/>
      <c r="J16" s="2029"/>
      <c r="K16" s="2081"/>
      <c r="L16" s="2082"/>
      <c r="M16" s="2082"/>
      <c r="N16" s="2083"/>
      <c r="O16" s="2082"/>
      <c r="P16" s="2083"/>
      <c r="Q16" s="2029"/>
      <c r="R16" s="2029"/>
    </row>
    <row r="17" spans="1:22" ht="18" customHeight="1">
      <c r="A17" s="2085" t="s">
        <v>1804</v>
      </c>
      <c r="B17" s="2035" t="s">
        <v>1805</v>
      </c>
      <c r="C17" s="1053">
        <f>'数据-汇总表'!E3</f>
        <v>79847.06</v>
      </c>
      <c r="D17" s="2086" t="s">
        <v>1806</v>
      </c>
      <c r="E17" s="3726" t="s">
        <v>1807</v>
      </c>
      <c r="F17" s="3727"/>
      <c r="G17" s="3727"/>
      <c r="H17" s="3727"/>
      <c r="I17" s="3728"/>
      <c r="J17" s="2029"/>
      <c r="K17" s="2087"/>
      <c r="L17" s="2082"/>
      <c r="M17" s="2082"/>
      <c r="N17" s="2083"/>
      <c r="O17" s="2082"/>
      <c r="P17" s="2083"/>
      <c r="Q17" s="2029"/>
      <c r="R17" s="2029"/>
      <c r="S17" s="2029"/>
      <c r="T17" s="2029"/>
      <c r="U17" s="2029"/>
      <c r="V17" s="2029"/>
    </row>
    <row r="18" spans="1:22" ht="36" customHeight="1" thickBot="1">
      <c r="A18" s="2088" t="s">
        <v>1808</v>
      </c>
      <c r="B18" s="2038" t="s">
        <v>1809</v>
      </c>
      <c r="C18" s="1443">
        <f>'数据-汇总表'!D3</f>
        <v>15080.97</v>
      </c>
      <c r="D18" s="2089" t="s">
        <v>1806</v>
      </c>
      <c r="E18" s="3729" t="s">
        <v>1810</v>
      </c>
      <c r="F18" s="3730"/>
      <c r="G18" s="3730"/>
      <c r="H18" s="3730"/>
      <c r="I18" s="3731"/>
      <c r="J18" s="2029"/>
      <c r="K18" s="2087"/>
      <c r="L18" s="2082"/>
      <c r="M18" s="2082"/>
      <c r="N18" s="2083"/>
      <c r="O18" s="2082"/>
      <c r="P18" s="2083"/>
      <c r="Q18" s="2029"/>
      <c r="R18" s="2029"/>
      <c r="S18" s="2029"/>
      <c r="T18" s="2029"/>
      <c r="U18" s="2029"/>
      <c r="V18" s="2029"/>
    </row>
    <row r="19" spans="1:22" ht="37.5" customHeight="1" thickTop="1" thickBot="1">
      <c r="A19" s="373" t="s">
        <v>1811</v>
      </c>
      <c r="B19" s="352" t="s">
        <v>1812</v>
      </c>
      <c r="C19" s="2090" t="s">
        <v>3042</v>
      </c>
      <c r="D19" s="2091" t="s">
        <v>1813</v>
      </c>
      <c r="E19" s="2092" t="s">
        <v>3042</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1814</v>
      </c>
      <c r="B20" s="3716" t="s">
        <v>1815</v>
      </c>
      <c r="C20" s="3717"/>
      <c r="D20" s="3718" t="s">
        <v>1816</v>
      </c>
      <c r="E20" s="3719"/>
      <c r="F20" s="2096" t="s">
        <v>1817</v>
      </c>
      <c r="G20" s="2042"/>
      <c r="H20" s="2042"/>
      <c r="I20" s="2042"/>
      <c r="J20" s="2042"/>
      <c r="K20" s="3715"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1819</v>
      </c>
      <c r="C21" s="2098" t="s">
        <v>1820</v>
      </c>
      <c r="D21" s="2099" t="s">
        <v>1821</v>
      </c>
      <c r="E21" s="2100" t="s">
        <v>1820</v>
      </c>
      <c r="F21" s="2101"/>
      <c r="G21" s="2042"/>
      <c r="H21" s="2042"/>
      <c r="I21" s="2042"/>
      <c r="J21" s="2042"/>
      <c r="K21" s="37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3"/>
      <c r="O21" s="2082"/>
      <c r="P21" s="2083"/>
      <c r="Q21" s="2029"/>
      <c r="R21" s="2029"/>
      <c r="S21" s="2029"/>
      <c r="T21" s="2029"/>
      <c r="U21" s="2029"/>
      <c r="V21" s="2029"/>
    </row>
    <row r="22" spans="1:22" ht="24.75" customHeight="1" thickBot="1">
      <c r="A22" s="2095"/>
      <c r="B22" s="2102" t="s">
        <v>1822</v>
      </c>
      <c r="C22" s="2098" t="s">
        <v>1823</v>
      </c>
      <c r="D22" s="2026"/>
      <c r="E22" s="2026"/>
      <c r="F22" s="2103"/>
      <c r="G22" s="2042"/>
      <c r="H22" s="2042"/>
      <c r="I22" s="2042"/>
      <c r="J22" s="2042"/>
      <c r="K22" s="37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1824</v>
      </c>
      <c r="B23" s="183" t="s">
        <v>1825</v>
      </c>
      <c r="C23" s="2105"/>
      <c r="D23" s="2106" t="s">
        <v>1825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1826</v>
      </c>
      <c r="C24" s="2110"/>
      <c r="D24" s="2104" t="s">
        <v>1826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1827</v>
      </c>
      <c r="C25" s="2110"/>
      <c r="D25" s="2104" t="s">
        <v>1827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1828</v>
      </c>
      <c r="C26" s="2114"/>
      <c r="D26" s="2115" t="s">
        <v>1829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703" t="s">
        <v>1830</v>
      </c>
      <c r="B27" s="2061" t="s">
        <v>1831</v>
      </c>
      <c r="C27" s="2118" t="s">
        <v>3937</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703"/>
      <c r="B28" s="2035" t="s">
        <v>1832</v>
      </c>
      <c r="C28" s="2120" t="s">
        <v>3115</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703"/>
      <c r="B29" s="2035" t="s">
        <v>1833</v>
      </c>
      <c r="C29" s="2123" t="s">
        <v>3272</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704"/>
      <c r="B30" s="2035" t="s">
        <v>1834</v>
      </c>
      <c r="C30" s="3705"/>
      <c r="D30" s="3706"/>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707" t="s">
        <v>1835</v>
      </c>
      <c r="B31" s="2125" t="s">
        <v>3273</v>
      </c>
      <c r="C31" s="2126" t="str">
        <f>IF(B31="现房","成新及维护状况正常否",IF(B31="在建","工程状态是否正常",IF(B31="土地","是否闲置","-")))</f>
        <v>工程状态是否正常</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708"/>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708"/>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1836</v>
      </c>
      <c r="B34" s="2132"/>
      <c r="C34" s="2132"/>
      <c r="D34" s="2132"/>
      <c r="E34" s="2132"/>
      <c r="F34" s="2132"/>
      <c r="G34" s="2132"/>
      <c r="H34" s="2132"/>
      <c r="I34" s="2042"/>
      <c r="J34" s="2042"/>
      <c r="K34" s="1795">
        <f>COUNTIF(B34:H34,"——")</f>
        <v>0</v>
      </c>
      <c r="L34" s="2073" t="s">
        <v>1837</v>
      </c>
      <c r="M34" s="2073" t="s">
        <v>1838</v>
      </c>
      <c r="N34" s="2073" t="s">
        <v>1839</v>
      </c>
      <c r="O34" s="2073" t="s">
        <v>1840</v>
      </c>
      <c r="P34" s="2073" t="s">
        <v>1841</v>
      </c>
      <c r="Q34" s="2073" t="s">
        <v>1842</v>
      </c>
      <c r="R34" s="2073" t="s">
        <v>1843</v>
      </c>
      <c r="S34" s="3702" t="s">
        <v>1844</v>
      </c>
      <c r="T34" s="2133" t="str">
        <f>NUMBERSTRING(7-K34,1)&amp;"通"</f>
        <v>七通</v>
      </c>
      <c r="U34" s="2029"/>
      <c r="V34" s="2029"/>
    </row>
    <row r="35" spans="1:22" ht="18" customHeight="1">
      <c r="A35" s="2134"/>
      <c r="B35" s="3709" t="s">
        <v>1845</v>
      </c>
      <c r="C35" s="3709"/>
      <c r="D35" s="3709"/>
      <c r="E35" s="3709"/>
      <c r="F35" s="2135">
        <f>C10</f>
        <v>0</v>
      </c>
      <c r="G35" s="2042"/>
      <c r="H35" s="2042"/>
      <c r="I35" s="2042"/>
      <c r="J35" s="2042"/>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702"/>
      <c r="T35" s="48" t="str">
        <f>IF(T34="一通",L35,IF(T34="二通",M35,IF(T34="三通",N35,IF(T34="四通",O35,IF(T34="五通",P35,IF(T34="六通",Q35,R35))))))</f>
        <v>、、、、、、</v>
      </c>
      <c r="U35" s="2029"/>
      <c r="V35" s="2029"/>
    </row>
    <row r="36" spans="1:22" ht="18" customHeight="1">
      <c r="A36" s="2136"/>
      <c r="B36" s="2135" t="s">
        <v>1846</v>
      </c>
      <c r="C36" s="2135" t="s">
        <v>1847</v>
      </c>
      <c r="D36" s="2135" t="s">
        <v>1848</v>
      </c>
      <c r="E36" s="2135" t="s">
        <v>1849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1850</v>
      </c>
      <c r="B37" s="2139" t="s">
        <v>56</v>
      </c>
      <c r="C37" s="2139" t="s">
        <v>56</v>
      </c>
      <c r="D37" s="2139" t="s">
        <v>56</v>
      </c>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1851</v>
      </c>
      <c r="B38" s="2141" t="s">
        <v>3274</v>
      </c>
      <c r="C38" s="2141" t="s">
        <v>3274</v>
      </c>
      <c r="D38" s="2141" t="s">
        <v>3274</v>
      </c>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1854</v>
      </c>
      <c r="B42" s="1795" t="s">
        <v>1855</v>
      </c>
      <c r="C42" s="1795" t="s">
        <v>1856</v>
      </c>
      <c r="D42" s="1795" t="s">
        <v>1857</v>
      </c>
      <c r="E42" s="1795" t="s">
        <v>1858</v>
      </c>
      <c r="F42" s="1795" t="s">
        <v>1859</v>
      </c>
      <c r="G42" s="1795" t="s">
        <v>1860</v>
      </c>
      <c r="H42" s="1795" t="s">
        <v>1861</v>
      </c>
      <c r="I42" s="1795" t="s">
        <v>1862</v>
      </c>
      <c r="J42" s="2151" t="s">
        <v>1863</v>
      </c>
      <c r="K42" s="2074" t="s">
        <v>1864</v>
      </c>
      <c r="L42" s="2074" t="s">
        <v>1865</v>
      </c>
      <c r="M42" s="2074" t="s">
        <v>1866</v>
      </c>
      <c r="N42" s="1795" t="s">
        <v>1867</v>
      </c>
      <c r="O42" s="1795" t="s">
        <v>1868</v>
      </c>
      <c r="P42" s="1795" t="s">
        <v>1869</v>
      </c>
      <c r="Q42" s="2073" t="s">
        <v>1870</v>
      </c>
      <c r="R42" s="2073" t="s">
        <v>1871</v>
      </c>
      <c r="S42" s="2029"/>
      <c r="T42" s="2029"/>
      <c r="U42" s="2029"/>
      <c r="V42" s="2029"/>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27" sqref="AN2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15080.97</v>
      </c>
      <c r="B3" s="14">
        <f>IF(C3="否",G5-AT5,G5)</f>
        <v>79847.06</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3"/>
      <c r="C5" s="1803"/>
      <c r="D5" s="1806"/>
      <c r="E5" s="16" t="s">
        <v>1</v>
      </c>
      <c r="F5" s="16">
        <f>SUM(F13:F587)</f>
        <v>0</v>
      </c>
      <c r="G5" s="16">
        <f>SUM(G13:G587)</f>
        <v>79847.06</v>
      </c>
      <c r="H5" s="16">
        <f t="shared" ref="H5:AT5" si="0">SUM(H13:H656)</f>
        <v>70117.27</v>
      </c>
      <c r="I5" s="16">
        <f t="shared" si="0"/>
        <v>58835.540000000008</v>
      </c>
      <c r="J5" s="16">
        <f t="shared" si="0"/>
        <v>0</v>
      </c>
      <c r="K5" s="16">
        <f t="shared" si="0"/>
        <v>4980.1000000000004</v>
      </c>
      <c r="L5" s="16">
        <f t="shared" si="0"/>
        <v>0</v>
      </c>
      <c r="M5" s="16">
        <f t="shared" si="0"/>
        <v>2344.4799999999996</v>
      </c>
      <c r="N5" s="16">
        <f t="shared" si="0"/>
        <v>0</v>
      </c>
      <c r="O5" s="16">
        <f t="shared" si="0"/>
        <v>3957.15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9729.7900000000009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7051.14</v>
      </c>
      <c r="AM5" s="16">
        <f t="shared" si="0"/>
        <v>0</v>
      </c>
      <c r="AN5" s="16">
        <f t="shared" si="0"/>
        <v>2678.65</v>
      </c>
      <c r="AO5" s="16">
        <f t="shared" si="0"/>
        <v>0</v>
      </c>
      <c r="AP5" s="16">
        <f t="shared" si="0"/>
        <v>0</v>
      </c>
      <c r="AQ5" s="16">
        <f t="shared" si="0"/>
        <v>0</v>
      </c>
      <c r="AR5" s="16">
        <f t="shared" si="0"/>
        <v>0</v>
      </c>
      <c r="AS5" s="16">
        <f t="shared" si="0"/>
        <v>0</v>
      </c>
      <c r="AT5" s="16">
        <f t="shared" si="0"/>
        <v>0</v>
      </c>
      <c r="AU5" s="1802"/>
      <c r="AV5" s="15" t="s">
        <v>1881</v>
      </c>
      <c r="AW5" s="1803"/>
      <c r="AX5" s="1803"/>
      <c r="AY5" s="17" t="s">
        <v>3</v>
      </c>
      <c r="AZ5" s="18">
        <f t="shared" ref="AZ5:BT5" si="1">SUM(AZ13:AZ656)</f>
        <v>79847.06</v>
      </c>
      <c r="BA5" s="18">
        <f t="shared" si="1"/>
        <v>70117.27</v>
      </c>
      <c r="BB5" s="18">
        <f t="shared" si="1"/>
        <v>58835.540000000008</v>
      </c>
      <c r="BC5" s="18">
        <f t="shared" si="1"/>
        <v>4980.1000000000004</v>
      </c>
      <c r="BD5" s="18">
        <f t="shared" si="1"/>
        <v>2344.4799999999996</v>
      </c>
      <c r="BE5" s="18">
        <f t="shared" si="1"/>
        <v>3957.15</v>
      </c>
      <c r="BF5" s="18">
        <f t="shared" si="1"/>
        <v>0</v>
      </c>
      <c r="BG5" s="18">
        <f t="shared" si="1"/>
        <v>0</v>
      </c>
      <c r="BH5" s="18">
        <f t="shared" si="1"/>
        <v>0</v>
      </c>
      <c r="BI5" s="18">
        <f t="shared" si="1"/>
        <v>0</v>
      </c>
      <c r="BJ5" s="18">
        <f t="shared" si="1"/>
        <v>0</v>
      </c>
      <c r="BK5" s="18">
        <f t="shared" si="1"/>
        <v>0</v>
      </c>
      <c r="BL5" s="18">
        <f t="shared" si="1"/>
        <v>9729.7900000000009</v>
      </c>
      <c r="BM5" s="18">
        <f t="shared" si="1"/>
        <v>0</v>
      </c>
      <c r="BN5" s="18">
        <f t="shared" si="1"/>
        <v>0</v>
      </c>
      <c r="BO5" s="18">
        <f t="shared" si="1"/>
        <v>0</v>
      </c>
      <c r="BP5" s="18">
        <f t="shared" si="1"/>
        <v>0</v>
      </c>
      <c r="BQ5" s="18">
        <f t="shared" si="1"/>
        <v>7051.14</v>
      </c>
      <c r="BR5" s="18">
        <f t="shared" si="1"/>
        <v>2678.65</v>
      </c>
      <c r="BS5" s="18">
        <f t="shared" si="1"/>
        <v>0</v>
      </c>
      <c r="BT5" s="19">
        <f t="shared" si="1"/>
        <v>0</v>
      </c>
    </row>
    <row r="6" spans="1:72" s="2176" customFormat="1" ht="12.75">
      <c r="A6" s="15" t="s">
        <v>1882</v>
      </c>
      <c r="B6" s="2173"/>
      <c r="C6" s="2173"/>
      <c r="D6" s="2174"/>
      <c r="E6" s="16">
        <f>H6+AC6+AT6</f>
        <v>15080.98</v>
      </c>
      <c r="F6" s="16" t="s">
        <v>1</v>
      </c>
      <c r="G6" s="16" t="s">
        <v>2</v>
      </c>
      <c r="H6" s="20">
        <f>SUMIF(I$12:AB$12,"总值",I6:AB6)</f>
        <v>13243.279999999999</v>
      </c>
      <c r="I6" s="16">
        <f t="shared" ref="I6:AB6" si="2">ROUND($A$3*I5/$B$3,2)</f>
        <v>11112.46</v>
      </c>
      <c r="J6" s="16">
        <f t="shared" si="2"/>
        <v>0</v>
      </c>
      <c r="K6" s="16">
        <f t="shared" si="2"/>
        <v>940.61</v>
      </c>
      <c r="L6" s="16">
        <f t="shared" si="2"/>
        <v>0</v>
      </c>
      <c r="M6" s="16">
        <f t="shared" si="2"/>
        <v>442.81</v>
      </c>
      <c r="N6" s="16">
        <f t="shared" si="2"/>
        <v>0</v>
      </c>
      <c r="O6" s="16">
        <f t="shared" si="2"/>
        <v>747.4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1837.7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1331.77</v>
      </c>
      <c r="AM6" s="16">
        <f t="shared" si="3"/>
        <v>0</v>
      </c>
      <c r="AN6" s="16">
        <f t="shared" si="3"/>
        <v>505.93</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15080.97</v>
      </c>
      <c r="AZ6" s="16" t="s">
        <v>3</v>
      </c>
      <c r="BA6" s="16">
        <f>ROUND($AY$6*BA5/$AZ$5,2)</f>
        <v>13243.27</v>
      </c>
      <c r="BB6" s="16">
        <f>ROUND($AY$6*BB5/$AZ$5,2)</f>
        <v>11112.46</v>
      </c>
      <c r="BC6" s="16">
        <f t="shared" ref="BC6:BH6" si="4">ROUND($AY$6*BC5/$AZ$5,2)</f>
        <v>940.61</v>
      </c>
      <c r="BD6" s="16">
        <f t="shared" si="4"/>
        <v>442.81</v>
      </c>
      <c r="BE6" s="16">
        <f t="shared" si="4"/>
        <v>747.4</v>
      </c>
      <c r="BF6" s="16">
        <f t="shared" si="4"/>
        <v>0</v>
      </c>
      <c r="BG6" s="16">
        <f t="shared" si="4"/>
        <v>0</v>
      </c>
      <c r="BH6" s="16">
        <f t="shared" si="4"/>
        <v>0</v>
      </c>
      <c r="BI6" s="16">
        <f t="shared" ref="BI6:BT6" si="5">ROUND($AY$6*BI5/$AZ$5,2)</f>
        <v>0</v>
      </c>
      <c r="BJ6" s="16">
        <f t="shared" si="5"/>
        <v>0</v>
      </c>
      <c r="BK6" s="16">
        <f t="shared" si="5"/>
        <v>0</v>
      </c>
      <c r="BL6" s="16">
        <f t="shared" si="5"/>
        <v>1837.7</v>
      </c>
      <c r="BM6" s="16">
        <f t="shared" si="5"/>
        <v>0</v>
      </c>
      <c r="BN6" s="16">
        <f t="shared" si="5"/>
        <v>0</v>
      </c>
      <c r="BO6" s="16">
        <f t="shared" si="5"/>
        <v>0</v>
      </c>
      <c r="BP6" s="16">
        <f t="shared" si="5"/>
        <v>0</v>
      </c>
      <c r="BQ6" s="16">
        <f t="shared" si="5"/>
        <v>1331.77</v>
      </c>
      <c r="BR6" s="16">
        <f t="shared" si="5"/>
        <v>505.93</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1890</v>
      </c>
      <c r="AV7" s="23" t="s">
        <v>1891</v>
      </c>
      <c r="AW7" s="2165" t="s">
        <v>1892</v>
      </c>
      <c r="AX7" s="23" t="s">
        <v>1885</v>
      </c>
      <c r="AY7" s="1803"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8"/>
      <c r="K8" s="1818"/>
      <c r="L8" s="1818"/>
      <c r="M8" s="1818"/>
      <c r="N8" s="1818"/>
      <c r="O8" s="1818"/>
      <c r="P8" s="1818"/>
      <c r="Q8" s="1818"/>
      <c r="R8" s="1818"/>
      <c r="S8" s="1818"/>
      <c r="T8" s="1818"/>
      <c r="U8" s="1818"/>
      <c r="V8" s="2185"/>
      <c r="W8" s="1818"/>
      <c r="X8" s="1818"/>
      <c r="Y8" s="1818"/>
      <c r="Z8" s="1818"/>
      <c r="AA8" s="2185"/>
      <c r="AB8" s="2186"/>
      <c r="AC8" s="980" t="s">
        <v>1896</v>
      </c>
      <c r="AD8" s="2187"/>
      <c r="AE8" s="2179"/>
      <c r="AF8" s="1818"/>
      <c r="AG8" s="1818"/>
      <c r="AH8" s="1818"/>
      <c r="AI8" s="1818"/>
      <c r="AJ8" s="1818"/>
      <c r="AK8" s="1818"/>
      <c r="AL8" s="1818"/>
      <c r="AM8" s="1818"/>
      <c r="AN8" s="1818"/>
      <c r="AO8" s="1818"/>
      <c r="AP8" s="1818"/>
      <c r="AQ8" s="1818"/>
      <c r="AR8" s="1818"/>
      <c r="AS8" s="1818"/>
      <c r="AT8" s="1291" t="s">
        <v>1897</v>
      </c>
      <c r="AU8" s="2181" t="s">
        <v>1898</v>
      </c>
      <c r="AV8" s="1291"/>
      <c r="AW8" s="2164"/>
      <c r="AX8" s="1291"/>
      <c r="AY8" s="2165" t="s">
        <v>1899</v>
      </c>
      <c r="AZ8" s="1817" t="s">
        <v>1900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1"/>
      <c r="H9" s="2189" t="s">
        <v>1901</v>
      </c>
      <c r="I9" s="2190" t="s">
        <v>3275</v>
      </c>
      <c r="J9" s="980"/>
      <c r="K9" s="2190" t="s">
        <v>3275</v>
      </c>
      <c r="L9" s="980"/>
      <c r="M9" s="2190" t="s">
        <v>3276</v>
      </c>
      <c r="N9" s="980"/>
      <c r="O9" s="2190" t="s">
        <v>3276</v>
      </c>
      <c r="P9" s="980"/>
      <c r="Q9" s="2190"/>
      <c r="R9" s="980"/>
      <c r="S9" s="2190"/>
      <c r="T9" s="980"/>
      <c r="U9" s="2190"/>
      <c r="V9" s="980"/>
      <c r="W9" s="2190"/>
      <c r="X9" s="2191"/>
      <c r="Y9" s="2190"/>
      <c r="Z9" s="980"/>
      <c r="AA9" s="2190"/>
      <c r="AB9" s="980"/>
      <c r="AC9" s="2182" t="s">
        <v>1901</v>
      </c>
      <c r="AD9" s="15" t="s">
        <v>1902</v>
      </c>
      <c r="AE9" s="1297"/>
      <c r="AF9" s="15" t="s">
        <v>1903</v>
      </c>
      <c r="AG9" s="1297"/>
      <c r="AH9" s="15" t="s">
        <v>1902</v>
      </c>
      <c r="AI9" s="1297"/>
      <c r="AJ9" s="15" t="s">
        <v>1903</v>
      </c>
      <c r="AK9" s="1297"/>
      <c r="AL9" s="15" t="s">
        <v>1902</v>
      </c>
      <c r="AM9" s="1297"/>
      <c r="AN9" s="15" t="s">
        <v>1903</v>
      </c>
      <c r="AO9" s="1297"/>
      <c r="AP9" s="15" t="s">
        <v>1902</v>
      </c>
      <c r="AQ9" s="1297"/>
      <c r="AR9" s="15" t="s">
        <v>1903</v>
      </c>
      <c r="AS9" s="2192"/>
      <c r="AT9" s="2181"/>
      <c r="AU9" s="2181" t="s">
        <v>1904</v>
      </c>
      <c r="AV9" s="1291"/>
      <c r="AW9" s="2164"/>
      <c r="AX9" s="1291"/>
      <c r="AY9" s="28"/>
      <c r="AZ9" s="28" t="s">
        <v>1894</v>
      </c>
      <c r="BA9" s="2193" t="s">
        <v>1905</v>
      </c>
      <c r="BB9" s="2194"/>
      <c r="BC9" s="1337"/>
      <c r="BD9" s="1337"/>
      <c r="BE9" s="1337"/>
      <c r="BF9" s="1337"/>
      <c r="BG9" s="1337"/>
      <c r="BH9" s="1337"/>
      <c r="BI9" s="1337"/>
      <c r="BJ9" s="1337"/>
      <c r="BK9" s="2195"/>
      <c r="BL9" s="15" t="s">
        <v>1906</v>
      </c>
      <c r="BM9" s="1818"/>
      <c r="BN9" s="2184"/>
      <c r="BO9" s="1818"/>
      <c r="BP9" s="1818"/>
      <c r="BQ9" s="1818"/>
      <c r="BR9" s="1818"/>
      <c r="BS9" s="1818"/>
      <c r="BT9" s="26"/>
    </row>
    <row r="10" spans="1:72" s="2188" customFormat="1" ht="12.75">
      <c r="A10" s="2181"/>
      <c r="B10" s="2181"/>
      <c r="C10" s="2181"/>
      <c r="D10" s="2181"/>
      <c r="E10" s="2181"/>
      <c r="F10" s="2181"/>
      <c r="G10" s="1291"/>
      <c r="H10" s="28"/>
      <c r="I10" s="2190" t="s">
        <v>27</v>
      </c>
      <c r="J10" s="980"/>
      <c r="K10" s="2196" t="s">
        <v>1378</v>
      </c>
      <c r="L10" s="980"/>
      <c r="M10" s="2196" t="s">
        <v>3277</v>
      </c>
      <c r="N10" s="980"/>
      <c r="O10" s="2196" t="s">
        <v>1378</v>
      </c>
      <c r="P10" s="980"/>
      <c r="Q10" s="2196"/>
      <c r="R10" s="980"/>
      <c r="S10" s="2196"/>
      <c r="T10" s="980"/>
      <c r="U10" s="2196"/>
      <c r="V10" s="980"/>
      <c r="W10" s="2196"/>
      <c r="X10" s="980"/>
      <c r="Y10" s="2196"/>
      <c r="Z10" s="980"/>
      <c r="AA10" s="2196"/>
      <c r="AB10" s="980"/>
      <c r="AC10" s="1291"/>
      <c r="AD10" s="15" t="s">
        <v>1907</v>
      </c>
      <c r="AE10" s="2197"/>
      <c r="AF10" s="15" t="s">
        <v>1907</v>
      </c>
      <c r="AG10" s="2197"/>
      <c r="AH10" s="15" t="s">
        <v>1908</v>
      </c>
      <c r="AI10" s="2197"/>
      <c r="AJ10" s="15" t="s">
        <v>1908</v>
      </c>
      <c r="AK10" s="2197"/>
      <c r="AL10" s="15" t="s">
        <v>1909</v>
      </c>
      <c r="AM10" s="1297"/>
      <c r="AN10" s="15" t="s">
        <v>1909</v>
      </c>
      <c r="AO10" s="1297"/>
      <c r="AP10" s="15" t="s">
        <v>1910</v>
      </c>
      <c r="AQ10" s="1297"/>
      <c r="AR10" s="15" t="s">
        <v>1910</v>
      </c>
      <c r="AS10" s="1297"/>
      <c r="AT10" s="2181"/>
      <c r="AU10" s="2181"/>
      <c r="AV10" s="1291"/>
      <c r="AW10" s="2164"/>
      <c r="AX10" s="1291"/>
      <c r="AY10" s="28"/>
      <c r="AZ10" s="28"/>
      <c r="BA10" s="2198" t="s">
        <v>1901</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1901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9"/>
      <c r="AF11" s="2203" t="s">
        <v>1911</v>
      </c>
      <c r="AG11" s="1819"/>
      <c r="AH11" s="2203" t="s">
        <v>1912</v>
      </c>
      <c r="AI11" s="2204"/>
      <c r="AJ11" s="2203" t="s">
        <v>1912</v>
      </c>
      <c r="AK11" s="1819"/>
      <c r="AL11" s="1817"/>
      <c r="AM11" s="1819"/>
      <c r="AN11" s="1817"/>
      <c r="AO11" s="1819"/>
      <c r="AP11" s="1817"/>
      <c r="AQ11" s="1819"/>
      <c r="AR11" s="1817"/>
      <c r="AS11" s="1819"/>
      <c r="AT11" s="2164"/>
      <c r="AU11" s="2181"/>
      <c r="AV11" s="1291"/>
      <c r="AW11" s="2164"/>
      <c r="AX11" s="1291"/>
      <c r="AY11" s="28"/>
      <c r="AZ11" s="28"/>
      <c r="BA11" s="28"/>
      <c r="BB11" s="2186" t="str">
        <f>I10</f>
        <v>办公</v>
      </c>
      <c r="BC11" s="2186" t="str">
        <f>K10</f>
        <v>商业</v>
      </c>
      <c r="BD11" s="2186" t="str">
        <f>M10</f>
        <v>仓储</v>
      </c>
      <c r="BE11" s="2186" t="str">
        <f>O10</f>
        <v>商业</v>
      </c>
      <c r="BF11" s="2186">
        <f>Q10</f>
        <v>0</v>
      </c>
      <c r="BG11" s="2186">
        <f>S10</f>
        <v>0</v>
      </c>
      <c r="BH11" s="2186">
        <f>U10</f>
        <v>0</v>
      </c>
      <c r="BI11" s="2186">
        <f>W10</f>
        <v>0</v>
      </c>
      <c r="BJ11" s="2186">
        <f>Y10</f>
        <v>0</v>
      </c>
      <c r="BK11" s="2186">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2" t="s">
        <v>1914</v>
      </c>
      <c r="W12" s="11" t="s">
        <v>1913</v>
      </c>
      <c r="X12" s="11" t="s">
        <v>1914</v>
      </c>
      <c r="Y12" s="11" t="s">
        <v>1913</v>
      </c>
      <c r="Z12" s="11" t="s">
        <v>1914</v>
      </c>
      <c r="AA12" s="11" t="s">
        <v>1913</v>
      </c>
      <c r="AB12" s="11" t="s">
        <v>1914</v>
      </c>
      <c r="AC12" s="2208"/>
      <c r="AD12" s="1806"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5">
      <c r="A13" s="1271"/>
      <c r="B13" s="1271"/>
      <c r="C13" s="2944" t="s">
        <v>3667</v>
      </c>
      <c r="D13" s="2946" t="s">
        <v>3042</v>
      </c>
      <c r="E13" s="16">
        <f>IF($C$3="是",ROUND($A$3*G13/$B$3,2),ROUND($A$3*(G13-AT13)/$B$3,2))</f>
        <v>11112.46</v>
      </c>
      <c r="F13" s="32"/>
      <c r="G13" s="33">
        <f>H13+AC13+AT13</f>
        <v>58835.540000000008</v>
      </c>
      <c r="H13" s="20">
        <f>SUMIF(I$12:AB$12,"总值",I13:AB13)</f>
        <v>58835.540000000008</v>
      </c>
      <c r="I13" s="2942">
        <f>面积表!L274</f>
        <v>58835.540000000008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v>
      </c>
      <c r="AY13" s="1806">
        <f>ROUND($AY$6*AZ13/$AZ$5,2)</f>
        <v>11112.46</v>
      </c>
      <c r="AZ13" s="16">
        <f>BA13+BL13</f>
        <v>58835.540000000008</v>
      </c>
      <c r="BA13" s="16">
        <f>SUM(BB13:BK13)</f>
        <v>58835.540000000008</v>
      </c>
      <c r="BB13" s="16">
        <f>IF($D13="是",I13-J13,0)</f>
        <v>58835.540000000008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5">
      <c r="A14" s="1271"/>
      <c r="B14" s="3280"/>
      <c r="C14" s="2944" t="s">
        <v>3659</v>
      </c>
      <c r="D14" s="2946" t="s">
        <v>3042</v>
      </c>
      <c r="E14" s="16">
        <f>IF($C$3="是",ROUND($A$3*G14/$B$3,2),ROUND($A$3*(G14-AT14)/$B$3,2))</f>
        <v>940.61</v>
      </c>
      <c r="F14" s="32"/>
      <c r="G14" s="33">
        <f>H14+AC14+AT14</f>
        <v>4980.1000000000004</v>
      </c>
      <c r="H14" s="20">
        <f>SUMIF(I$12:AB$12,"总值",I14:AB14)</f>
        <v>4980.1000000000004</v>
      </c>
      <c r="I14" s="2942"/>
      <c r="J14" s="2212"/>
      <c r="K14" s="2212">
        <f>面积表!L272+面积表!L267+面积表!L268</f>
        <v>4980.1000000000004</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地上商业</v>
      </c>
      <c r="AY14" s="1806">
        <f>ROUND($AY$6*AZ14/$AZ$5,2)</f>
        <v>940.61</v>
      </c>
      <c r="AZ14" s="16">
        <f>BA14+BL14</f>
        <v>4980.1000000000004</v>
      </c>
      <c r="BA14" s="16">
        <f>SUM(BB14:BK14)</f>
        <v>4980.1000000000004</v>
      </c>
      <c r="BB14" s="16">
        <f>IF($D14="是",I14-J14,0)</f>
        <v>0</v>
      </c>
      <c r="BC14" s="16">
        <f>IF($D14="是",K14-L14,0)</f>
        <v>4980.1000000000004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5">
      <c r="A15" s="1271"/>
      <c r="B15" s="1271"/>
      <c r="C15" s="2944" t="s">
        <v>3668</v>
      </c>
      <c r="D15" s="2946" t="s">
        <v>3042</v>
      </c>
      <c r="E15" s="16">
        <f>IF($C$3="是",ROUND($A$3*G15/$B$3,2),ROUND($A$3*(G15-AT15)/$B$3,2))</f>
        <v>442.81</v>
      </c>
      <c r="F15" s="32"/>
      <c r="G15" s="33">
        <f>H15+AC15+AT15</f>
        <v>2344.4799999999996</v>
      </c>
      <c r="H15" s="20">
        <f>SUMIF(I$12:AB$12,"总值",I15:AB15)</f>
        <v>2344.4799999999996</v>
      </c>
      <c r="I15" s="2942"/>
      <c r="J15" s="2212"/>
      <c r="K15" s="2212"/>
      <c r="L15" s="2212"/>
      <c r="M15" s="2212">
        <f>面积表!L275</f>
        <v>2344.4799999999996</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仓储</v>
      </c>
      <c r="AY15" s="1806">
        <f>ROUND($AY$6*AZ15/$AZ$5,2)</f>
        <v>442.81</v>
      </c>
      <c r="AZ15" s="16">
        <f>BA15+BL15</f>
        <v>2344.4799999999996</v>
      </c>
      <c r="BA15" s="16">
        <f>SUM(BB15:BK15)</f>
        <v>2344.4799999999996</v>
      </c>
      <c r="BB15" s="16">
        <f>IF($D15="是",I15-J15,0)</f>
        <v>0</v>
      </c>
      <c r="BC15" s="16">
        <f>IF($D15="是",K15-L15,0)</f>
        <v>0</v>
      </c>
      <c r="BD15" s="16">
        <f>IF($D15="是",M15-N15,0)</f>
        <v>2344.4799999999996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5">
      <c r="A16" s="1271"/>
      <c r="B16" s="1271"/>
      <c r="C16" s="2944" t="s">
        <v>3662</v>
      </c>
      <c r="D16" s="2946" t="s">
        <v>3042</v>
      </c>
      <c r="E16" s="16">
        <f>IF($C$3="是",ROUND($A$3*G16/$B$3,2),ROUND($A$3*(G16-AT16)/$B$3,2))</f>
        <v>747.4</v>
      </c>
      <c r="F16" s="32"/>
      <c r="G16" s="33">
        <f>H16+AC16+AT16</f>
        <v>3957.15</v>
      </c>
      <c r="H16" s="20">
        <f>SUMIF(I$12:AB$12,"总值",I16:AB16)</f>
        <v>3957.15</v>
      </c>
      <c r="I16" s="2942"/>
      <c r="J16" s="2212"/>
      <c r="K16" s="2212"/>
      <c r="L16" s="2212"/>
      <c r="M16" s="2212"/>
      <c r="N16" s="2212"/>
      <c r="O16" s="2212">
        <f>面积表!L5</f>
        <v>3957.15</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地下商业</v>
      </c>
      <c r="AY16" s="1806">
        <f>ROUND($AY$6*AZ16/$AZ$5,2)</f>
        <v>747.4</v>
      </c>
      <c r="AZ16" s="16">
        <f>BA16+BL16</f>
        <v>3957.15</v>
      </c>
      <c r="BA16" s="16">
        <f>SUM(BB16:BK16)</f>
        <v>3957.15</v>
      </c>
      <c r="BB16" s="16">
        <f>IF($D16="是",I16-J16,0)</f>
        <v>0</v>
      </c>
      <c r="BC16" s="16">
        <f>IF($D16="是",K16-L16,0)</f>
        <v>0</v>
      </c>
      <c r="BD16" s="16">
        <f>IF($D16="是",M16-N16,0)</f>
        <v>0</v>
      </c>
      <c r="BE16" s="16">
        <f>IF($D16="是",O16-P16,0)</f>
        <v>3957.15</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25.5">
      <c r="A17" s="1271"/>
      <c r="B17" s="3280"/>
      <c r="C17" s="3650" t="s">
        <v>3931</v>
      </c>
      <c r="D17" s="2946" t="s">
        <v>3933</v>
      </c>
      <c r="E17" s="16">
        <f>IF($C$3="是",ROUND($A$3*G17/$B$3,2),ROUND($A$3*(G17-AT17)/$B$3,2))</f>
        <v>1331.77</v>
      </c>
      <c r="F17" s="32"/>
      <c r="G17" s="33">
        <f>H17+AC17+AT17</f>
        <v>7051.14</v>
      </c>
      <c r="H17" s="20">
        <f>SUMIF(I$12:AB$12,"总值",I17:AB17)</f>
        <v>0</v>
      </c>
      <c r="I17" s="2943"/>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7051.14</v>
      </c>
      <c r="AD17" s="2213"/>
      <c r="AE17" s="2213"/>
      <c r="AF17" s="2213"/>
      <c r="AG17" s="2213"/>
      <c r="AH17" s="2213"/>
      <c r="AI17" s="2213"/>
      <c r="AJ17" s="2213"/>
      <c r="AK17" s="2213"/>
      <c r="AL17" s="2213">
        <f>9729.85-AN18-0.06</f>
        <v>7051.14</v>
      </c>
      <c r="AM17" s="2213"/>
      <c r="AN17" s="2213"/>
      <c r="AO17" s="2213"/>
      <c r="AP17" s="2213"/>
      <c r="AQ17" s="2213"/>
      <c r="AR17" s="2213"/>
      <c r="AS17" s="2213"/>
      <c r="AT17" s="2214"/>
      <c r="AU17" s="2215"/>
      <c r="AV17" s="11">
        <f t="shared" si="6"/>
        <v>0</v>
      </c>
      <c r="AW17" s="11">
        <f t="shared" si="6"/>
        <v>0</v>
      </c>
      <c r="AX17" s="11" t="str">
        <f t="shared" si="6"/>
        <v>地上设备用房</v>
      </c>
      <c r="AY17" s="1806">
        <f>ROUND($AY$6*AZ17/$AZ$5,2)</f>
        <v>1331.77</v>
      </c>
      <c r="AZ17" s="16">
        <f>BA17+BL17</f>
        <v>7051.14</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7051.14</v>
      </c>
      <c r="BM17" s="16">
        <f>IF($D17="是",AD17-AE17,0)</f>
        <v>0</v>
      </c>
      <c r="BN17" s="16">
        <f>IF($D17="是",AF17-AG17,0)</f>
        <v>0</v>
      </c>
      <c r="BO17" s="16">
        <f>IF($D17="是",AH17-AI17,0)</f>
        <v>0</v>
      </c>
      <c r="BP17" s="16">
        <f>IF($D17="是",AJ17-AK17,0)</f>
        <v>0</v>
      </c>
      <c r="BQ17" s="16">
        <f>IF($D17="是",AL17-AM17,0)</f>
        <v>7051.14</v>
      </c>
      <c r="BR17" s="16">
        <f>IF($D17="是",AN17-AO17,0)</f>
        <v>0</v>
      </c>
      <c r="BS17" s="16">
        <f>IF($D17="是",AP17-AQ17,0)</f>
        <v>0</v>
      </c>
      <c r="BT17" s="22">
        <f>IF($D17="是",AR17-AS17,0)</f>
        <v>0</v>
      </c>
    </row>
    <row r="18" spans="1:72" ht="28.5">
      <c r="A18" s="9"/>
      <c r="B18" s="3280"/>
      <c r="C18" s="3279" t="s">
        <v>3932</v>
      </c>
      <c r="D18" s="2946" t="s">
        <v>3933</v>
      </c>
      <c r="E18" s="35">
        <f t="shared" ref="E18:E112" si="7">IF($C$3="是",ROUND($A$3*G18/$B$3,2),ROUND($A$3*(G18-AT18)/$B$3,2))</f>
        <v>505.93</v>
      </c>
      <c r="F18" s="36"/>
      <c r="G18" s="37">
        <f t="shared" ref="G18:G109" si="8">H18+AC18+AT18</f>
        <v>2678.65</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2678.65</v>
      </c>
      <c r="AD18" s="40"/>
      <c r="AE18" s="40"/>
      <c r="AF18" s="40"/>
      <c r="AG18" s="40"/>
      <c r="AH18" s="40"/>
      <c r="AI18" s="40"/>
      <c r="AJ18" s="40"/>
      <c r="AK18" s="40"/>
      <c r="AL18" s="40"/>
      <c r="AM18" s="40"/>
      <c r="AN18" s="40">
        <v>2678.65</v>
      </c>
      <c r="AO18" s="40"/>
      <c r="AP18" s="40"/>
      <c r="AQ18" s="40"/>
      <c r="AR18" s="40"/>
      <c r="AS18" s="40"/>
      <c r="AT18" s="41"/>
      <c r="AU18" s="2217"/>
      <c r="AV18" s="1795">
        <f t="shared" ref="AV18:AV112" si="11">A18</f>
        <v>0</v>
      </c>
      <c r="AW18" s="1795">
        <f t="shared" ref="AW18:AW112" si="12">B18</f>
        <v>0</v>
      </c>
      <c r="AX18" s="1795" t="str">
        <f t="shared" ref="AX18:AX112" si="13">C18</f>
        <v>地下设备用房</v>
      </c>
      <c r="AY18" s="42">
        <f t="shared" ref="AY18:AY109" si="14">ROUND($AY$6*AZ18/$AZ$5,2)</f>
        <v>505.93</v>
      </c>
      <c r="AZ18" s="35">
        <f t="shared" ref="AZ18:AZ109" si="15">BA18+BL18</f>
        <v>2678.65</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2678.65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2678.65</v>
      </c>
      <c r="BS18" s="35">
        <f t="shared" ref="BS18:BS109" si="34">IF($D18="是",AP18-AQ18,0)</f>
        <v>0</v>
      </c>
      <c r="BT18" s="43">
        <f t="shared" ref="BT18:BT109" si="35">IF($D18="是",AR18-AS18,0)</f>
        <v>0</v>
      </c>
    </row>
    <row r="19" spans="1:72">
      <c r="A19" s="9"/>
      <c r="B19" s="34"/>
      <c r="C19" s="3278"/>
      <c r="D19" s="2946"/>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78"/>
      <c r="D20" s="2946"/>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78"/>
      <c r="D21" s="2946"/>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78"/>
      <c r="D22" s="2946"/>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78"/>
      <c r="D23" s="2946"/>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78"/>
      <c r="D24" s="2946"/>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78"/>
      <c r="D25" s="2946"/>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78"/>
      <c r="D26" s="2946"/>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78"/>
      <c r="D27" s="2946"/>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78"/>
      <c r="D28" s="2946"/>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78"/>
      <c r="D29" s="2946"/>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78"/>
      <c r="D30" s="2946"/>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78"/>
      <c r="D31" s="2946"/>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78"/>
      <c r="D32" s="2946"/>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79"/>
      <c r="D33" s="2946"/>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79"/>
      <c r="D34" s="2946"/>
      <c r="E34" s="35">
        <f t="shared" si="7"/>
        <v>0</v>
      </c>
      <c r="F34" s="36"/>
      <c r="G34" s="37">
        <f t="shared" si="8"/>
        <v>0</v>
      </c>
      <c r="H34" s="38">
        <f t="shared" si="9"/>
        <v>0</v>
      </c>
      <c r="I34" s="294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79"/>
      <c r="D35" s="2946"/>
      <c r="E35" s="35">
        <f t="shared" si="7"/>
        <v>0</v>
      </c>
      <c r="F35" s="36"/>
      <c r="G35" s="37">
        <f t="shared" si="8"/>
        <v>0</v>
      </c>
      <c r="H35" s="38">
        <f t="shared" si="9"/>
        <v>0</v>
      </c>
      <c r="I35" s="294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79"/>
      <c r="D36" s="2946"/>
      <c r="E36" s="35">
        <f t="shared" si="7"/>
        <v>0</v>
      </c>
      <c r="F36" s="36"/>
      <c r="G36" s="37">
        <f t="shared" si="8"/>
        <v>0</v>
      </c>
      <c r="H36" s="38">
        <f t="shared" si="9"/>
        <v>0</v>
      </c>
      <c r="I36" s="294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79"/>
      <c r="D37" s="2946"/>
      <c r="E37" s="35">
        <f t="shared" si="7"/>
        <v>0</v>
      </c>
      <c r="F37" s="36"/>
      <c r="G37" s="37">
        <f t="shared" si="8"/>
        <v>0</v>
      </c>
      <c r="H37" s="38">
        <f t="shared" si="9"/>
        <v>0</v>
      </c>
      <c r="I37" s="294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79"/>
      <c r="D38" s="2946"/>
      <c r="E38" s="35">
        <f t="shared" si="7"/>
        <v>0</v>
      </c>
      <c r="F38" s="36"/>
      <c r="G38" s="37">
        <f t="shared" si="8"/>
        <v>0</v>
      </c>
      <c r="H38" s="38">
        <f t="shared" si="9"/>
        <v>0</v>
      </c>
      <c r="I38" s="294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79"/>
      <c r="D39" s="2946"/>
      <c r="E39" s="35">
        <f t="shared" si="7"/>
        <v>0</v>
      </c>
      <c r="F39" s="36"/>
      <c r="G39" s="37">
        <f t="shared" si="8"/>
        <v>0</v>
      </c>
      <c r="H39" s="38">
        <f t="shared" si="9"/>
        <v>0</v>
      </c>
      <c r="I39" s="294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79"/>
      <c r="D40" s="2946"/>
      <c r="E40" s="35">
        <f t="shared" si="7"/>
        <v>0</v>
      </c>
      <c r="F40" s="36"/>
      <c r="G40" s="37">
        <f t="shared" si="8"/>
        <v>0</v>
      </c>
      <c r="H40" s="38">
        <f t="shared" si="9"/>
        <v>0</v>
      </c>
      <c r="I40" s="294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79"/>
      <c r="D41" s="2946"/>
      <c r="E41" s="35">
        <f t="shared" si="7"/>
        <v>0</v>
      </c>
      <c r="F41" s="36"/>
      <c r="G41" s="37">
        <f t="shared" si="8"/>
        <v>0</v>
      </c>
      <c r="H41" s="38">
        <f t="shared" si="9"/>
        <v>0</v>
      </c>
      <c r="I41" s="294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79"/>
      <c r="D42" s="2946"/>
      <c r="E42" s="35">
        <f t="shared" si="7"/>
        <v>0</v>
      </c>
      <c r="F42" s="36"/>
      <c r="G42" s="37">
        <f t="shared" si="8"/>
        <v>0</v>
      </c>
      <c r="H42" s="38">
        <f t="shared" si="9"/>
        <v>0</v>
      </c>
      <c r="I42" s="294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280"/>
      <c r="C43" s="3279"/>
      <c r="D43" s="29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79"/>
      <c r="D44" s="29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79"/>
      <c r="D45" s="29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79"/>
      <c r="D46" s="29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79"/>
      <c r="D47" s="29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79"/>
      <c r="D48" s="29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79"/>
      <c r="D49" s="29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79"/>
      <c r="D50" s="29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79"/>
      <c r="D51" s="29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79"/>
      <c r="D52" s="29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79"/>
      <c r="D53" s="29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79"/>
      <c r="D54" s="29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79"/>
      <c r="D55" s="29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9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280"/>
      <c r="C57" s="34"/>
      <c r="D57" s="29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280"/>
      <c r="C58" s="2944"/>
      <c r="D58" s="29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4" t="s">
        <v>3667</v>
      </c>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t="str">
        <f t="shared" si="13"/>
        <v>办公</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4" t="s">
        <v>3659</v>
      </c>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t="str">
        <f t="shared" si="13"/>
        <v>地上商业</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4" t="s">
        <v>3668</v>
      </c>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t="str">
        <f t="shared" si="13"/>
        <v>仓储</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4" t="s">
        <v>3662</v>
      </c>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t="str">
        <f t="shared" si="13"/>
        <v>地下商业</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32" t="s">
        <v>0</v>
      </c>
      <c r="B1" s="3732" t="s">
        <v>4</v>
      </c>
      <c r="C1" s="3732" t="s">
        <v>5</v>
      </c>
      <c r="D1" s="3733" t="s">
        <v>53</v>
      </c>
      <c r="E1" s="3733" t="s">
        <v>54</v>
      </c>
      <c r="F1" s="3733"/>
      <c r="G1" s="3733"/>
      <c r="H1" s="3733"/>
      <c r="I1" s="3733"/>
      <c r="J1" s="3733"/>
      <c r="K1" s="3733"/>
      <c r="L1" s="3733"/>
      <c r="M1" s="3733"/>
    </row>
    <row r="2" spans="1:13" ht="27" customHeight="1">
      <c r="A2" s="3732"/>
      <c r="B2" s="3732"/>
      <c r="C2" s="3732"/>
      <c r="D2" s="3733"/>
      <c r="E2" s="3733" t="s">
        <v>37</v>
      </c>
      <c r="F2" s="3733" t="s">
        <v>38</v>
      </c>
      <c r="G2" s="3733"/>
      <c r="H2" s="3733"/>
      <c r="I2" s="3733"/>
      <c r="J2" s="3733" t="s">
        <v>39</v>
      </c>
      <c r="K2" s="3733"/>
      <c r="L2" s="3733"/>
      <c r="M2" s="3733"/>
    </row>
    <row r="3" spans="1:13" ht="28.5">
      <c r="A3" s="3732"/>
      <c r="B3" s="3732"/>
      <c r="C3" s="3732"/>
      <c r="D3" s="3733"/>
      <c r="E3" s="37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33" t="s">
        <v>55</v>
      </c>
      <c r="B9" s="3733"/>
      <c r="C9" s="37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1940</v>
      </c>
      <c r="B1" s="1391"/>
      <c r="C1" s="1391"/>
      <c r="D1" s="1391"/>
      <c r="E1" s="1391"/>
      <c r="F1" s="1391"/>
      <c r="G1" s="1391"/>
      <c r="H1" s="1391"/>
      <c r="I1" s="1391"/>
      <c r="J1" s="1391"/>
      <c r="K1" s="1391"/>
      <c r="L1" s="1391"/>
      <c r="M1" s="1391"/>
      <c r="N1" s="1391"/>
      <c r="O1" s="1391"/>
      <c r="P1" s="1391"/>
    </row>
    <row r="2" spans="1:16" ht="15">
      <c r="A2" s="3743" t="s">
        <v>1941</v>
      </c>
      <c r="B2" s="3743"/>
      <c r="C2" s="3743"/>
      <c r="D2" s="966" t="s">
        <v>1917</v>
      </c>
      <c r="E2" s="2225" t="s">
        <v>1918</v>
      </c>
      <c r="F2" s="1391"/>
      <c r="G2" s="2226"/>
      <c r="H2" s="2227"/>
      <c r="I2" s="2228" t="s">
        <v>1942</v>
      </c>
      <c r="J2" s="1391"/>
      <c r="K2" s="1391"/>
      <c r="L2" s="1391"/>
      <c r="M2" s="1391"/>
      <c r="N2" s="1426"/>
      <c r="O2" s="1391"/>
      <c r="P2" s="1391"/>
    </row>
    <row r="3" spans="1:16" ht="15.75" thickBot="1">
      <c r="A3" s="3744" t="s">
        <v>1915</v>
      </c>
      <c r="B3" s="3744"/>
      <c r="C3" s="3744"/>
      <c r="D3" s="46">
        <f>'数据-基础表'!AY6</f>
        <v>15080.97</v>
      </c>
      <c r="E3" s="46">
        <f>'数据-基础表'!AZ5</f>
        <v>79847.06</v>
      </c>
      <c r="F3" s="1391"/>
      <c r="G3" s="1398"/>
      <c r="H3" s="1246" t="s">
        <v>1916</v>
      </c>
      <c r="I3" s="55">
        <f>ROUND('数据-基础表'!B3/'数据-基础表'!A3,2)</f>
        <v>5.29</v>
      </c>
      <c r="J3" s="1391"/>
      <c r="K3" s="1391"/>
      <c r="L3" s="1391"/>
      <c r="M3" s="1391"/>
      <c r="N3" s="1426"/>
      <c r="O3" s="1391"/>
      <c r="P3" s="1391"/>
    </row>
    <row r="4" spans="1:16" ht="15">
      <c r="A4" s="3745"/>
      <c r="B4" s="3746"/>
      <c r="C4" s="3747"/>
      <c r="D4" s="2229" t="s">
        <v>1917</v>
      </c>
      <c r="E4" s="2230" t="s">
        <v>1918</v>
      </c>
      <c r="F4" s="1391"/>
      <c r="G4" s="2231" t="s">
        <v>1943</v>
      </c>
      <c r="H4" s="1246" t="s">
        <v>1923</v>
      </c>
      <c r="I4" s="55">
        <f>ROUND(SUMIF('数据-基础表'!I9:AS9,"地上",'数据-基础表'!I5:AS5)/'数据-基础表'!A3,2)</f>
        <v>4.7</v>
      </c>
      <c r="J4" s="1391"/>
      <c r="K4" s="1391"/>
      <c r="L4" s="1391"/>
      <c r="M4" s="1391"/>
      <c r="N4" s="1426"/>
      <c r="O4" s="1391"/>
      <c r="P4" s="1391"/>
    </row>
    <row r="5" spans="1:16">
      <c r="A5" s="47" t="s">
        <v>1919</v>
      </c>
      <c r="B5" s="3748" t="s">
        <v>1920</v>
      </c>
      <c r="C5" s="3748"/>
      <c r="D5" s="48">
        <f>ROUND($D$3*E5/$E$3,2)</f>
        <v>0</v>
      </c>
      <c r="E5" s="49">
        <f>SUMIF('数据-基础表'!$11:$11,"住宅",'数据-基础表'!$5:$5)</f>
        <v>0</v>
      </c>
      <c r="F5" s="1391"/>
      <c r="G5" s="1398"/>
      <c r="H5" s="1246" t="s">
        <v>1916</v>
      </c>
      <c r="I5" s="55">
        <f>ROUND(E31/D31,2)</f>
        <v>5.29</v>
      </c>
      <c r="J5" s="1391"/>
      <c r="K5" s="1391"/>
      <c r="L5" s="1391"/>
      <c r="M5" s="1391"/>
      <c r="N5" s="1391"/>
      <c r="O5" s="1391"/>
      <c r="P5" s="1391"/>
    </row>
    <row r="6" spans="1:16" ht="15" thickBot="1">
      <c r="A6" s="2232"/>
      <c r="B6" s="3748" t="s">
        <v>1921</v>
      </c>
      <c r="C6" s="3748"/>
      <c r="D6" s="48">
        <f>ROUND($D$3*E6/$E$3,2)</f>
        <v>15080.97</v>
      </c>
      <c r="E6" s="49">
        <f>E3-E5</f>
        <v>79847.06</v>
      </c>
      <c r="F6" s="1391"/>
      <c r="G6" s="2233" t="s">
        <v>1922</v>
      </c>
      <c r="H6" s="1398" t="s">
        <v>1923</v>
      </c>
      <c r="I6" s="938">
        <f>ROUND(F31/D31,2)</f>
        <v>4.7</v>
      </c>
      <c r="J6" s="1391"/>
      <c r="K6" s="1391"/>
      <c r="L6" s="1391"/>
      <c r="M6" s="1391"/>
      <c r="N6" s="1391"/>
      <c r="O6" s="1391"/>
      <c r="P6" s="1391"/>
    </row>
    <row r="7" spans="1:16" ht="15">
      <c r="A7" s="3740"/>
      <c r="B7" s="3741"/>
      <c r="C7" s="3742"/>
      <c r="D7" s="2229" t="s">
        <v>1917</v>
      </c>
      <c r="E7" s="2234" t="s">
        <v>1924</v>
      </c>
      <c r="F7" s="1391"/>
      <c r="G7" s="2226" t="s">
        <v>1925</v>
      </c>
      <c r="H7" s="64"/>
      <c r="I7" s="420"/>
      <c r="J7" s="1391"/>
      <c r="K7" s="1391"/>
      <c r="L7" s="1391"/>
      <c r="M7" s="1391"/>
      <c r="N7" s="1391"/>
      <c r="O7" s="1391"/>
      <c r="P7" s="1391"/>
    </row>
    <row r="8" spans="1:16">
      <c r="A8" s="47" t="s">
        <v>1926</v>
      </c>
      <c r="B8" s="50" t="s">
        <v>1927</v>
      </c>
      <c r="C8" s="48" t="s">
        <v>1928</v>
      </c>
      <c r="D8" s="48">
        <f t="shared" ref="D8:D15" si="0">ROUND($D$3*E8/$E$3,2)</f>
        <v>12053.06</v>
      </c>
      <c r="E8" s="51">
        <f>SUMIF('数据-基础表'!BB10:BK10,"地上",'数据-基础表'!BB5:BK5)</f>
        <v>63815.640000000007</v>
      </c>
      <c r="F8" s="1391"/>
      <c r="G8" s="2235"/>
      <c r="H8" s="2235"/>
      <c r="I8" s="1391"/>
      <c r="J8" s="1391"/>
      <c r="K8" s="1391"/>
      <c r="L8" s="1391"/>
      <c r="M8" s="1391"/>
      <c r="N8" s="1391"/>
      <c r="O8" s="1391"/>
      <c r="P8" s="1391"/>
    </row>
    <row r="9" spans="1:16">
      <c r="A9" s="2236"/>
      <c r="B9" s="2237"/>
      <c r="C9" s="48" t="s">
        <v>1929</v>
      </c>
      <c r="D9" s="48">
        <f t="shared" si="0"/>
        <v>0</v>
      </c>
      <c r="E9" s="52">
        <v>0</v>
      </c>
      <c r="F9" s="1391"/>
      <c r="G9" s="2235"/>
      <c r="H9" s="2235"/>
      <c r="I9" s="1391"/>
      <c r="J9" s="1391"/>
      <c r="K9" s="1391"/>
      <c r="L9" s="1391"/>
      <c r="M9" s="1391"/>
      <c r="N9" s="1391"/>
      <c r="O9" s="1391"/>
      <c r="P9" s="1391"/>
    </row>
    <row r="10" spans="1:16">
      <c r="A10" s="2236"/>
      <c r="B10" s="2237"/>
      <c r="C10" s="48" t="s">
        <v>1938</v>
      </c>
      <c r="D10" s="48">
        <f t="shared" si="0"/>
        <v>747.4</v>
      </c>
      <c r="E10" s="51">
        <f>SUMPRODUCT(('数据-基础表'!BB10:BK10="地下")*('数据-基础表'!BB11:BK11="商业")*('数据-基础表'!BB5:BK5))</f>
        <v>3957.15</v>
      </c>
      <c r="F10" s="1391"/>
      <c r="G10" s="2235"/>
      <c r="H10" s="2235"/>
      <c r="I10" s="1391"/>
      <c r="J10" s="1391"/>
      <c r="K10" s="1391"/>
      <c r="L10" s="1391"/>
      <c r="M10" s="1391"/>
      <c r="N10" s="1391"/>
      <c r="O10" s="1391"/>
      <c r="P10" s="1391"/>
    </row>
    <row r="11" spans="1:16">
      <c r="A11" s="2236"/>
      <c r="B11" s="2237"/>
      <c r="C11" s="48" t="s">
        <v>1930</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1931</v>
      </c>
      <c r="D12" s="48">
        <f t="shared" si="0"/>
        <v>442.81</v>
      </c>
      <c r="E12" s="51">
        <f>SUMPRODUCT(('数据-基础表'!BB10:BK10="地下")*('数据-基础表'!BB11:BK11="仓储")*('数据-基础表'!BB5:BK5))</f>
        <v>2344.4799999999996</v>
      </c>
      <c r="F12" s="1391"/>
      <c r="G12" s="2235"/>
      <c r="H12" s="2235"/>
      <c r="I12" s="1391"/>
      <c r="J12" s="1391"/>
      <c r="K12" s="1391"/>
      <c r="L12" s="1391"/>
      <c r="M12" s="1391"/>
      <c r="N12" s="1391"/>
      <c r="O12" s="1391"/>
      <c r="P12" s="1391"/>
    </row>
    <row r="13" spans="1:16">
      <c r="A13" s="2236"/>
      <c r="B13" s="2237"/>
      <c r="C13" s="48" t="s">
        <v>1932</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1944</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1939</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1933</v>
      </c>
      <c r="D16" s="50">
        <f>SUM(D8:D15)</f>
        <v>13243.269999999999</v>
      </c>
      <c r="E16" s="53">
        <f>SUM(E8:E15)</f>
        <v>70117.27</v>
      </c>
      <c r="F16" s="1391"/>
      <c r="G16" s="2235"/>
      <c r="H16" s="2238" t="s">
        <v>1945</v>
      </c>
      <c r="I16" s="2239"/>
      <c r="J16" s="1391"/>
      <c r="K16" s="3737" t="s">
        <v>1945</v>
      </c>
      <c r="L16" s="3738"/>
      <c r="M16" s="3738"/>
      <c r="N16" s="3738"/>
      <c r="O16" s="3738"/>
      <c r="P16" s="3739"/>
    </row>
    <row r="17" spans="1:19" ht="15">
      <c r="A17" s="2240" t="s">
        <v>1946</v>
      </c>
      <c r="B17" s="2241" t="s">
        <v>1947</v>
      </c>
      <c r="C17" s="2242" t="s">
        <v>1948</v>
      </c>
      <c r="D17" s="2243" t="s">
        <v>1936</v>
      </c>
      <c r="E17" s="2244" t="s">
        <v>1937</v>
      </c>
      <c r="F17" s="2245"/>
      <c r="G17" s="2246"/>
      <c r="H17" s="2247" t="s">
        <v>1949</v>
      </c>
      <c r="I17" s="2248" t="s">
        <v>1934</v>
      </c>
      <c r="J17" s="1391"/>
      <c r="K17" s="3734" t="s">
        <v>1950</v>
      </c>
      <c r="L17" s="3735"/>
      <c r="M17" s="3736"/>
      <c r="N17" s="3734" t="s">
        <v>1951</v>
      </c>
      <c r="O17" s="3735"/>
      <c r="P17" s="3736"/>
      <c r="R17" s="2226" t="s">
        <v>1952</v>
      </c>
      <c r="S17" s="64"/>
    </row>
    <row r="18" spans="1:19" ht="15">
      <c r="A18" s="2236"/>
      <c r="B18" s="2249"/>
      <c r="C18" s="2250"/>
      <c r="D18" s="2251"/>
      <c r="E18" s="2252" t="s">
        <v>1953</v>
      </c>
      <c r="F18" s="2253" t="s">
        <v>1954</v>
      </c>
      <c r="G18" s="2254" t="s">
        <v>1955</v>
      </c>
      <c r="H18" s="1261" t="s">
        <v>1956</v>
      </c>
      <c r="I18" s="2255" t="s">
        <v>1957</v>
      </c>
      <c r="J18" s="1391"/>
      <c r="K18" s="1261" t="s">
        <v>1958</v>
      </c>
      <c r="L18" s="2256" t="s">
        <v>1959</v>
      </c>
      <c r="M18" s="1045" t="s">
        <v>1960</v>
      </c>
      <c r="N18" s="1261" t="s">
        <v>1958</v>
      </c>
      <c r="O18" s="2256" t="s">
        <v>1959</v>
      </c>
      <c r="P18" s="1045" t="s">
        <v>1960</v>
      </c>
      <c r="R18" s="1246" t="s">
        <v>1961</v>
      </c>
      <c r="S18" s="1246" t="s">
        <v>1962</v>
      </c>
    </row>
    <row r="19" spans="1:19">
      <c r="A19" s="2257"/>
      <c r="B19" s="50" t="s">
        <v>1935</v>
      </c>
      <c r="C19" s="2945" t="s">
        <v>3663</v>
      </c>
      <c r="D19" s="48">
        <f>ROUND($D$3*E19/$E$3,2)</f>
        <v>11112.46</v>
      </c>
      <c r="E19" s="56">
        <f t="shared" ref="E19:E26" si="1">SUM(F19:G19)</f>
        <v>58835.540000000008</v>
      </c>
      <c r="F19" s="57">
        <f>'数据-基础表'!I13</f>
        <v>58835.540000000008</v>
      </c>
      <c r="G19" s="58"/>
      <c r="H19" s="723">
        <f>ROUND($D$3*I19/$E$3,2)</f>
        <v>1542.02</v>
      </c>
      <c r="I19" s="51">
        <f t="shared" ref="I19:I26" si="2">IF($I$17="自定义",P19,M19)</f>
        <v>8164.29</v>
      </c>
      <c r="J19" s="1391"/>
      <c r="K19" s="1390">
        <f t="shared" ref="K19:K26" si="3">ROUND(E$28*E19/E$27,2)</f>
        <v>8164.29</v>
      </c>
      <c r="L19" s="1246">
        <f t="shared" ref="L19:L26" si="4">ROUND(IF(COUNTIF(C19,"*住宅*")&gt;0,E$29*E19/E$32,0),2)</f>
        <v>0</v>
      </c>
      <c r="M19" s="1402">
        <f>K19+L19</f>
        <v>8164.29</v>
      </c>
      <c r="N19" s="2258"/>
      <c r="O19" s="2259"/>
      <c r="P19" s="1402">
        <f>N19+O19</f>
        <v>0</v>
      </c>
      <c r="R19" s="1246">
        <f t="shared" ref="R19:S26" si="5">D19+H19</f>
        <v>12654.48</v>
      </c>
      <c r="S19" s="1247">
        <f t="shared" si="5"/>
        <v>66999.83</v>
      </c>
    </row>
    <row r="20" spans="1:19">
      <c r="A20" s="2260"/>
      <c r="B20" s="50" t="s">
        <v>1963</v>
      </c>
      <c r="C20" s="2945" t="s">
        <v>3664</v>
      </c>
      <c r="D20" s="48">
        <f t="shared" ref="D20:D26" si="6">ROUND($D$3*E20/$E$3,2)</f>
        <v>940.61</v>
      </c>
      <c r="E20" s="56">
        <f t="shared" si="1"/>
        <v>4980.1000000000004</v>
      </c>
      <c r="F20" s="57">
        <f>'数据-基础表'!K14</f>
        <v>4980.1000000000004</v>
      </c>
      <c r="G20" s="58"/>
      <c r="H20" s="723">
        <f t="shared" ref="H20:H26" si="7">ROUND($D$3*I20/$E$3,2)</f>
        <v>130.52000000000001</v>
      </c>
      <c r="I20" s="51">
        <f t="shared" si="2"/>
        <v>691.06</v>
      </c>
      <c r="J20" s="1391"/>
      <c r="K20" s="1390">
        <f t="shared" si="3"/>
        <v>691.06</v>
      </c>
      <c r="L20" s="1246">
        <f t="shared" si="4"/>
        <v>0</v>
      </c>
      <c r="M20" s="1402">
        <f t="shared" ref="M20:M26" si="8">K20+L20</f>
        <v>691.06</v>
      </c>
      <c r="N20" s="2258"/>
      <c r="O20" s="2259"/>
      <c r="P20" s="1402">
        <f t="shared" ref="P20:P26" si="9">N20+O20</f>
        <v>0</v>
      </c>
      <c r="R20" s="1246">
        <f t="shared" si="5"/>
        <v>1071.1300000000001</v>
      </c>
      <c r="S20" s="1247">
        <f t="shared" si="5"/>
        <v>5671.16</v>
      </c>
    </row>
    <row r="21" spans="1:19">
      <c r="A21" s="2260"/>
      <c r="B21" s="50" t="s">
        <v>1963</v>
      </c>
      <c r="C21" s="2945" t="s">
        <v>3666</v>
      </c>
      <c r="D21" s="48">
        <f t="shared" si="6"/>
        <v>442.81</v>
      </c>
      <c r="E21" s="56">
        <f t="shared" si="1"/>
        <v>2344.4799999999996</v>
      </c>
      <c r="F21" s="57"/>
      <c r="G21" s="58">
        <f>'数据-基础表'!M15</f>
        <v>2344.4799999999996</v>
      </c>
      <c r="H21" s="723">
        <f t="shared" si="7"/>
        <v>61.45</v>
      </c>
      <c r="I21" s="51">
        <f t="shared" si="2"/>
        <v>325.33</v>
      </c>
      <c r="J21" s="1391"/>
      <c r="K21" s="1390">
        <f t="shared" si="3"/>
        <v>325.33</v>
      </c>
      <c r="L21" s="1246">
        <f t="shared" si="4"/>
        <v>0</v>
      </c>
      <c r="M21" s="1402">
        <f t="shared" si="8"/>
        <v>325.33</v>
      </c>
      <c r="N21" s="2258"/>
      <c r="O21" s="2259"/>
      <c r="P21" s="1402">
        <f t="shared" si="9"/>
        <v>0</v>
      </c>
      <c r="R21" s="1246">
        <f t="shared" si="5"/>
        <v>504.26</v>
      </c>
      <c r="S21" s="1247">
        <f t="shared" si="5"/>
        <v>2669.8099999999995</v>
      </c>
    </row>
    <row r="22" spans="1:19">
      <c r="A22" s="2260"/>
      <c r="B22" s="50" t="s">
        <v>1963</v>
      </c>
      <c r="C22" s="3290" t="s">
        <v>3665</v>
      </c>
      <c r="D22" s="48">
        <f t="shared" si="6"/>
        <v>747.4</v>
      </c>
      <c r="E22" s="56">
        <f t="shared" si="1"/>
        <v>3957.15</v>
      </c>
      <c r="F22" s="61"/>
      <c r="G22" s="62">
        <f>'数据-基础表'!O16</f>
        <v>3957.15</v>
      </c>
      <c r="H22" s="723">
        <f t="shared" si="7"/>
        <v>103.71</v>
      </c>
      <c r="I22" s="51">
        <f t="shared" si="2"/>
        <v>549.11</v>
      </c>
      <c r="J22" s="1391"/>
      <c r="K22" s="1390">
        <f t="shared" si="3"/>
        <v>549.11</v>
      </c>
      <c r="L22" s="1246">
        <f t="shared" si="4"/>
        <v>0</v>
      </c>
      <c r="M22" s="1402">
        <f t="shared" si="8"/>
        <v>549.11</v>
      </c>
      <c r="N22" s="2258"/>
      <c r="O22" s="2259"/>
      <c r="P22" s="1402">
        <f t="shared" si="9"/>
        <v>0</v>
      </c>
      <c r="R22" s="1246">
        <f t="shared" si="5"/>
        <v>851.11</v>
      </c>
      <c r="S22" s="1247">
        <f t="shared" si="5"/>
        <v>4506.26</v>
      </c>
    </row>
    <row r="23" spans="1:19">
      <c r="A23" s="2260"/>
      <c r="B23" s="50" t="s">
        <v>1963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29.25" thickBot="1">
      <c r="A27" s="2260"/>
      <c r="B27" s="48"/>
      <c r="C27" s="2263" t="s">
        <v>1964</v>
      </c>
      <c r="D27" s="1392">
        <f>SUM(D19:D26)</f>
        <v>13243.279999999999</v>
      </c>
      <c r="E27" s="1393">
        <f>IF(SUM(E19:E26)='数据-基础表'!BA5,SUM(E19:E26),IF(F27="地上面积有误","面积有误","地下面积有误"))</f>
        <v>70117.27</v>
      </c>
      <c r="F27" s="1392">
        <f>IF(SUM(F19:F26)=E8,SUM(F19:F26),"地上面积有误")</f>
        <v>63815.640000000007</v>
      </c>
      <c r="G27" s="1394">
        <f>SUM(G19:G26)</f>
        <v>6301.6299999999992</v>
      </c>
      <c r="H27" s="1395">
        <f>SUM(H19:H26)</f>
        <v>1837.7</v>
      </c>
      <c r="I27" s="1396">
        <f>SUM(I19:I26)</f>
        <v>9729.7900000000009</v>
      </c>
      <c r="J27" s="1391"/>
      <c r="K27" s="1399">
        <f>SUM(K19:K26)</f>
        <v>9729.7900000000009</v>
      </c>
      <c r="L27" s="1400">
        <f>SUM(L19:L26)</f>
        <v>0</v>
      </c>
      <c r="M27" s="1403">
        <f>SUM(M19:M26)</f>
        <v>9729.7900000000009</v>
      </c>
      <c r="N27" s="1399">
        <f t="shared" ref="N27:O27" si="10">SUM(N19:N26)</f>
        <v>0</v>
      </c>
      <c r="O27" s="1400">
        <f t="shared" si="10"/>
        <v>0</v>
      </c>
      <c r="P27" s="1401">
        <f>SUM(P19:P26)</f>
        <v>0</v>
      </c>
      <c r="R27" s="1248" t="str">
        <f>IF(SUM(R19:R26)=$D$3,SUM(R19:R26),SUM(R19:R26)&amp;"误差"&amp;ROUND(SUM(R19:R26)-$D$3,2))</f>
        <v>15080.98误差0.01</v>
      </c>
      <c r="S27" s="1246">
        <f>IF(SUM(S19:S26)=$E$3,SUM(S19:S26),SUM(S19:S26)&amp;"误差"&amp;ROUND(SUM(S19:S26)-E3,2))</f>
        <v>79847.06</v>
      </c>
    </row>
    <row r="28" spans="1:19">
      <c r="A28" s="2260"/>
      <c r="B28" s="50" t="s">
        <v>1965</v>
      </c>
      <c r="C28" s="1258" t="s">
        <v>1966</v>
      </c>
      <c r="D28" s="48">
        <f>ROUND($D$3*E28/$E$3,2)</f>
        <v>1837.7</v>
      </c>
      <c r="E28" s="56">
        <f>SUM(F28:G28)</f>
        <v>9729.7900000000009</v>
      </c>
      <c r="F28" s="64">
        <f>'数据-基础表'!BQ5+'数据-基础表'!BS5</f>
        <v>7051.14</v>
      </c>
      <c r="G28" s="65">
        <f>'数据-基础表'!BR5+'数据-基础表'!BT5</f>
        <v>2678.65</v>
      </c>
      <c r="H28" s="1391"/>
      <c r="I28" s="1391"/>
      <c r="J28" s="1391"/>
      <c r="K28" s="1391"/>
      <c r="L28" s="1391"/>
      <c r="M28" s="1391"/>
      <c r="N28" s="1391"/>
      <c r="O28" s="1391"/>
      <c r="P28" s="1391"/>
    </row>
    <row r="29" spans="1:19">
      <c r="A29" s="2260"/>
      <c r="B29" s="50" t="s">
        <v>1965</v>
      </c>
      <c r="C29" s="2264" t="s">
        <v>1967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1964</v>
      </c>
      <c r="D30" s="1392">
        <f>SUM(D28:D29)</f>
        <v>1837.7</v>
      </c>
      <c r="E30" s="1392">
        <f>SUM(E28:E29)</f>
        <v>9729.7900000000009</v>
      </c>
      <c r="F30" s="1392">
        <f>SUM(F28:F29)</f>
        <v>7051.14</v>
      </c>
      <c r="G30" s="1394">
        <f>SUM(G28:G29)</f>
        <v>2678.65</v>
      </c>
      <c r="H30" s="1391"/>
      <c r="I30" s="1391"/>
      <c r="J30" s="1391"/>
      <c r="K30" s="1391"/>
      <c r="L30" s="1391"/>
      <c r="M30" s="1391"/>
      <c r="N30" s="1391"/>
      <c r="O30" s="1391"/>
      <c r="P30" s="1391"/>
    </row>
    <row r="31" spans="1:19" ht="15.75" thickBot="1">
      <c r="A31" s="2266"/>
      <c r="B31" s="2267"/>
      <c r="C31" s="1006" t="s">
        <v>1968</v>
      </c>
      <c r="D31" s="729">
        <f>D27+D30</f>
        <v>15080.98</v>
      </c>
      <c r="E31" s="729">
        <f>E27+E30</f>
        <v>79847.06</v>
      </c>
      <c r="F31" s="730">
        <f>F27+F30</f>
        <v>70866.780000000013</v>
      </c>
      <c r="G31" s="731">
        <f>G27+G30</f>
        <v>8980.2799999999988</v>
      </c>
      <c r="H31" s="1391"/>
      <c r="I31" s="1391"/>
      <c r="J31" s="1391"/>
      <c r="K31" s="1391"/>
      <c r="L31" s="1391"/>
      <c r="M31" s="1391"/>
      <c r="N31" s="1391"/>
      <c r="O31" s="1391"/>
      <c r="P31" s="1391"/>
    </row>
    <row r="32" spans="1:19">
      <c r="A32" s="2231"/>
      <c r="B32" s="2231" t="s">
        <v>1969</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5"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1970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1971</v>
      </c>
      <c r="B2" s="1265">
        <f>项目基本情况!D3</f>
        <v>43110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1972</v>
      </c>
      <c r="B4" s="2278"/>
      <c r="C4" s="2279"/>
      <c r="D4" s="2280"/>
      <c r="E4" s="2279" t="s">
        <v>1973</v>
      </c>
      <c r="F4" s="2279"/>
      <c r="G4" s="2279"/>
      <c r="H4" s="2279"/>
      <c r="I4" s="2279"/>
      <c r="J4" s="2281"/>
      <c r="K4" s="2282"/>
      <c r="L4" s="2283"/>
      <c r="M4" s="2279"/>
      <c r="N4" s="2279" t="s">
        <v>1974</v>
      </c>
      <c r="O4" s="2279"/>
      <c r="P4" s="2279"/>
      <c r="Q4" s="2279"/>
      <c r="R4" s="2279"/>
      <c r="S4" s="2281"/>
      <c r="T4" s="2284" t="str">
        <f>'数据-汇总表'!I17</f>
        <v>按面积比例</v>
      </c>
      <c r="U4" s="2278" t="s">
        <v>1975</v>
      </c>
      <c r="V4" s="2279"/>
      <c r="W4" s="2279"/>
      <c r="X4" s="2279"/>
      <c r="Y4" s="2281"/>
      <c r="Z4" s="2242" t="s">
        <v>1976</v>
      </c>
      <c r="AA4" s="2242"/>
      <c r="AB4" s="2242"/>
      <c r="AC4" s="2242"/>
      <c r="AD4" s="2242"/>
      <c r="AE4" s="2240" t="s">
        <v>1977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1978</v>
      </c>
      <c r="B5" s="2287" t="s">
        <v>1979</v>
      </c>
      <c r="C5" s="2288" t="s">
        <v>1980</v>
      </c>
      <c r="D5" s="2289" t="s">
        <v>1981</v>
      </c>
      <c r="E5" s="1267" t="s">
        <v>1982</v>
      </c>
      <c r="F5" s="2290" t="s">
        <v>1983</v>
      </c>
      <c r="G5" s="1267" t="s">
        <v>1984</v>
      </c>
      <c r="H5" s="1267" t="s">
        <v>1985</v>
      </c>
      <c r="I5" s="1267" t="s">
        <v>1986</v>
      </c>
      <c r="J5" s="2291" t="s">
        <v>1987</v>
      </c>
      <c r="K5" s="2292" t="s">
        <v>1988</v>
      </c>
      <c r="L5" s="2293" t="s">
        <v>1989</v>
      </c>
      <c r="M5" s="2294" t="s">
        <v>1990</v>
      </c>
      <c r="N5" s="2295" t="s">
        <v>3678</v>
      </c>
      <c r="O5" s="2293" t="s">
        <v>1991</v>
      </c>
      <c r="P5" s="2296" t="s">
        <v>1992</v>
      </c>
      <c r="Q5" s="69" t="s">
        <v>1993</v>
      </c>
      <c r="R5" s="2297" t="s">
        <v>1994</v>
      </c>
      <c r="S5" s="2298" t="s">
        <v>1995</v>
      </c>
      <c r="T5" s="2299" t="s">
        <v>1996</v>
      </c>
      <c r="U5" s="1266" t="s">
        <v>1997</v>
      </c>
      <c r="V5" s="1267" t="s">
        <v>1998</v>
      </c>
      <c r="W5" s="1267" t="s">
        <v>1999</v>
      </c>
      <c r="X5" s="71"/>
      <c r="Y5" s="70" t="s">
        <v>2000</v>
      </c>
      <c r="Z5" s="2300" t="s">
        <v>1997</v>
      </c>
      <c r="AA5" s="1267" t="s">
        <v>1998</v>
      </c>
      <c r="AB5" s="1267" t="s">
        <v>1999</v>
      </c>
      <c r="AC5" s="71"/>
      <c r="AD5" s="71" t="s">
        <v>2000</v>
      </c>
      <c r="AE5" s="1266" t="s">
        <v>2001</v>
      </c>
      <c r="AF5" s="1267" t="s">
        <v>2002</v>
      </c>
      <c r="AG5" s="70" t="s">
        <v>2003</v>
      </c>
      <c r="AH5" s="1266" t="s">
        <v>2004</v>
      </c>
      <c r="AI5" s="2300" t="s">
        <v>2005</v>
      </c>
      <c r="AJ5" s="2300" t="s">
        <v>2006</v>
      </c>
      <c r="AK5" s="1267" t="s">
        <v>2007</v>
      </c>
      <c r="AL5" s="1267" t="s">
        <v>2008</v>
      </c>
      <c r="AM5" s="70" t="s">
        <v>2009</v>
      </c>
      <c r="AN5" s="2301" t="s">
        <v>2010</v>
      </c>
      <c r="AO5" s="2073" t="s">
        <v>2011</v>
      </c>
      <c r="AP5" s="1248" t="s">
        <v>2012</v>
      </c>
      <c r="AQ5" s="2302" t="s">
        <v>2013</v>
      </c>
      <c r="AR5" s="2302"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58247</v>
      </c>
      <c r="F6" s="72">
        <f>SUMIF(项目基本情况!D$12:I$12,C6,项目基本情况!D$15:I$15)</f>
        <v>41.47</v>
      </c>
      <c r="G6" s="73">
        <f>IF(ISERROR(ROUND(POWER(1+H6,D6-F6)*(POWER(1+H6,F6)-1)/(POWER(1+H6,D6)-1),3)),0,ROUND(POWER(1+H6,D6-F6)*(POWER(1+H6,F6)-1)/(POWER(1+H6,D6)-1),3))</f>
        <v>0.95099999999999996</v>
      </c>
      <c r="H6" s="802">
        <v>0.05</v>
      </c>
      <c r="I6" s="802">
        <v>5.5E-2</v>
      </c>
      <c r="J6" s="74">
        <v>0.09</v>
      </c>
      <c r="K6" s="1250">
        <f>SUMIF('数据-汇总表'!C$19:C$33,A6,'数据-汇总表'!E$19:E$33)</f>
        <v>58835.540000000008</v>
      </c>
      <c r="L6" s="803">
        <v>4500</v>
      </c>
      <c r="M6" s="75">
        <f t="shared" ref="M6:M14" si="0">ROUND(K6*L6/10000,0)</f>
        <v>26476</v>
      </c>
      <c r="N6" s="801">
        <v>0.98</v>
      </c>
      <c r="O6" s="75">
        <f>IF($N$5="成新度","——",ROUND(M6*N6,0))</f>
        <v>25946</v>
      </c>
      <c r="P6" s="76">
        <f>IF($N$5="成新度","——",M6-O6)</f>
        <v>530</v>
      </c>
      <c r="Q6" s="804">
        <v>0.25</v>
      </c>
      <c r="R6" s="77">
        <f ca="1">SUMIF('数据-汇总表'!C$19:C$33,A6,'数据-汇总表'!R$19:R$27)</f>
        <v>12654.48</v>
      </c>
      <c r="S6" s="54">
        <f>IF('数据-汇总表'!$I$17="按面积比例",SUMIF('数据-汇总表'!C$19:C$33,A6,'数据-汇总表'!K$19:K$33),SUMIF('数据-汇总表'!C$19:C$33,A6,'数据-汇总表'!N$19:N$33))</f>
        <v>8164.29</v>
      </c>
      <c r="T6" s="1442">
        <f>ROUND($L$14*S6/10000,0)</f>
        <v>1633</v>
      </c>
      <c r="U6" s="78">
        <f>'比较法-办公 (租金)'!C50</f>
        <v>6.6</v>
      </c>
      <c r="V6" s="79">
        <v>0.03</v>
      </c>
      <c r="W6" s="79">
        <v>0.12</v>
      </c>
      <c r="X6" s="1260"/>
      <c r="Y6" s="80">
        <v>1</v>
      </c>
      <c r="Z6" s="81"/>
      <c r="AA6" s="74"/>
      <c r="AB6" s="74"/>
      <c r="AC6" s="1260"/>
      <c r="AD6" s="82"/>
      <c r="AE6" s="1261">
        <f ca="1">IF(AN6="",0,SUMIF(INDIRECT("'"&amp;AN6&amp;"'"&amp;"!E:E"),$AE$5,INDIRECT("'"&amp;AN6&amp;"'"&amp;"!F:F")))</f>
        <v>41.47</v>
      </c>
      <c r="AF6" s="1804"/>
      <c r="AG6" s="147">
        <f>IF(AF6="",0,AE6-AF6)</f>
        <v>0</v>
      </c>
      <c r="AH6" s="83"/>
      <c r="AI6" s="85">
        <v>365</v>
      </c>
      <c r="AJ6" s="86"/>
      <c r="AK6" s="87">
        <v>0.02</v>
      </c>
      <c r="AL6" s="88">
        <v>2E-3</v>
      </c>
      <c r="AM6" s="89">
        <v>0.02</v>
      </c>
      <c r="AN6" s="2306" t="s">
        <v>3671</v>
      </c>
      <c r="AO6" s="55">
        <f ca="1">SUMIF(INDIRECT("'"&amp;AN6&amp;"'"&amp;"!A:A"),"总价",INDIRECT("'"&amp;AN6&amp;"'"&amp;"!B:B"))</f>
        <v>257385</v>
      </c>
      <c r="AP6" s="2307">
        <f>IF(C6="住宅",K6*L6,0)</f>
        <v>0</v>
      </c>
      <c r="AQ6" s="55">
        <f>ROUND($L$14*$N$14*S6/10000,0)</f>
        <v>1600</v>
      </c>
      <c r="AR6" s="55">
        <f>ROUND($L$14*(1-$N$14)*S6/10000,0)</f>
        <v>33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商业</v>
      </c>
      <c r="B7" s="2304" t="str">
        <f t="shared" ref="B7:B13" si="1">IF(A7=0,"","经营性")</f>
        <v>经营性</v>
      </c>
      <c r="C7" s="2305" t="s">
        <v>1378</v>
      </c>
      <c r="D7" s="1050">
        <f>SUMIF(项目基本情况!D$12:I$12,C7,项目基本情况!D$14:I$14)</f>
        <v>40</v>
      </c>
      <c r="E7" s="1047">
        <f>IF(B7="","",SUMIF(项目基本情况!D$12:I$12,C7,项目基本情况!D$13:I$13))</f>
        <v>54595</v>
      </c>
      <c r="F7" s="72">
        <f>SUMIF(项目基本情况!D$12:I$12,C7,项目基本情况!D$15:I$15)</f>
        <v>31.46</v>
      </c>
      <c r="G7" s="73">
        <f t="shared" ref="G7:G11" si="2">IF(ISERROR(ROUND(POWER(1+H7,D7-F7)*(POWER(1+H7,F7)-1)/(POWER(1+H7,D7)-1),3)),0,ROUND(POWER(1+H7,D7-F7)*(POWER(1+H7,F7)-1)/(POWER(1+H7,D7)-1),3))</f>
        <v>0.92300000000000004</v>
      </c>
      <c r="H7" s="802">
        <v>5.5E-2</v>
      </c>
      <c r="I7" s="802">
        <v>0.06</v>
      </c>
      <c r="J7" s="74">
        <v>0.09</v>
      </c>
      <c r="K7" s="1250">
        <f>SUMIF('数据-汇总表'!C$19:C$33,A7,'数据-汇总表'!E$19:E$33)</f>
        <v>4980.1000000000004</v>
      </c>
      <c r="L7" s="803">
        <v>3500</v>
      </c>
      <c r="M7" s="75">
        <f t="shared" si="0"/>
        <v>1743</v>
      </c>
      <c r="N7" s="801">
        <v>0.98</v>
      </c>
      <c r="O7" s="75">
        <f t="shared" ref="O7:O14" si="3">IF($N$5="成新度","——",ROUND(M7*N7,0))</f>
        <v>1708</v>
      </c>
      <c r="P7" s="76">
        <f t="shared" ref="P7:P14" si="4">IF($N$5="成新度","——",M7-O7)</f>
        <v>35</v>
      </c>
      <c r="Q7" s="804">
        <v>0.25</v>
      </c>
      <c r="R7" s="77">
        <f ca="1">SUMIF('数据-汇总表'!C$19:C$33,A7,'数据-汇总表'!R$19:R$27)</f>
        <v>1071.1300000000001</v>
      </c>
      <c r="S7" s="54">
        <f>IF('数据-汇总表'!$I$17="按面积比例",SUMIF('数据-汇总表'!C$19:C$33,A7,'数据-汇总表'!K$19:K$33),SUMIF('数据-汇总表'!C$19:C$33,A7,'数据-汇总表'!N$19:N$33))</f>
        <v>691.06</v>
      </c>
      <c r="T7" s="1442">
        <f t="shared" ref="T7:T13" si="5">ROUND($L$14*S7/10000,0)</f>
        <v>138</v>
      </c>
      <c r="U7" s="78">
        <v>11</v>
      </c>
      <c r="V7" s="79">
        <v>3.5000000000000003E-2</v>
      </c>
      <c r="W7" s="79">
        <v>0.1</v>
      </c>
      <c r="X7" s="1260"/>
      <c r="Y7" s="80">
        <v>1</v>
      </c>
      <c r="Z7" s="81"/>
      <c r="AA7" s="74"/>
      <c r="AB7" s="74"/>
      <c r="AC7" s="1260"/>
      <c r="AD7" s="82"/>
      <c r="AE7" s="1261">
        <f t="shared" ref="AE7:AE13" ca="1" si="6">IF(AN7="",0,SUMIF(INDIRECT("'"&amp;AN7&amp;"'"&amp;"!E:E"),$AE$5,INDIRECT("'"&amp;AN7&amp;"'"&amp;"!F:F")))</f>
        <v>31.46</v>
      </c>
      <c r="AF7" s="1804"/>
      <c r="AG7" s="147">
        <f t="shared" ref="AG7:AG13" si="7">IF(AF7="",0,AE7-AF7)</f>
        <v>0</v>
      </c>
      <c r="AH7" s="83"/>
      <c r="AI7" s="85">
        <v>365</v>
      </c>
      <c r="AJ7" s="86"/>
      <c r="AK7" s="87">
        <v>0.02</v>
      </c>
      <c r="AL7" s="88">
        <v>2E-3</v>
      </c>
      <c r="AM7" s="89">
        <v>0.02</v>
      </c>
      <c r="AN7" s="2306" t="s">
        <v>3673</v>
      </c>
      <c r="AO7" s="55">
        <f t="shared" ref="AO7:AO13" ca="1" si="8">SUMIF(INDIRECT("'"&amp;AN7&amp;"'"&amp;"!A:A"),"总价",INDIRECT("'"&amp;AN7&amp;"'"&amp;"!B:B"))</f>
        <v>33351</v>
      </c>
      <c r="AP7" s="2307">
        <f t="shared" ref="AP7:AP13" si="9">IF(C7="住宅",K7*L7,0)</f>
        <v>0</v>
      </c>
      <c r="AQ7" s="55">
        <f t="shared" ref="AQ7:AQ13" si="10">ROUND($L$14*$N$14*S7/10000,0)</f>
        <v>135</v>
      </c>
      <c r="AR7" s="55">
        <f t="shared" ref="AR7:AR13" si="11">ROUND($L$14*(1-$N$14)*S7/10000,0)</f>
        <v>3</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地下仓储</v>
      </c>
      <c r="B8" s="2304" t="str">
        <f t="shared" si="1"/>
        <v>经营性</v>
      </c>
      <c r="C8" s="2305" t="s">
        <v>3277</v>
      </c>
      <c r="D8" s="1050">
        <f>SUMIF(项目基本情况!D$12:I$12,C8,项目基本情况!D$14:I$14)</f>
        <v>50</v>
      </c>
      <c r="E8" s="1047">
        <f>IF(B8="","",SUMIF(项目基本情况!D$12:I$12,C8,项目基本情况!D$13:I$13))</f>
        <v>58247</v>
      </c>
      <c r="F8" s="72">
        <f>SUMIF(项目基本情况!D$12:I$12,C8,项目基本情况!D$15:I$15)</f>
        <v>41.47</v>
      </c>
      <c r="G8" s="73">
        <f t="shared" si="2"/>
        <v>0.94299999999999995</v>
      </c>
      <c r="H8" s="802">
        <v>4.4999999999999998E-2</v>
      </c>
      <c r="I8" s="802">
        <v>0.05</v>
      </c>
      <c r="J8" s="74">
        <v>0.09</v>
      </c>
      <c r="K8" s="1250">
        <f>SUMIF('数据-汇总表'!C$19:C$33,A8,'数据-汇总表'!E$19:E$33)</f>
        <v>2344.4799999999996</v>
      </c>
      <c r="L8" s="803">
        <v>2500</v>
      </c>
      <c r="M8" s="75">
        <f>ROUND(K8*L8/10000,0)</f>
        <v>586</v>
      </c>
      <c r="N8" s="801">
        <v>0.98</v>
      </c>
      <c r="O8" s="75">
        <f t="shared" si="3"/>
        <v>574</v>
      </c>
      <c r="P8" s="76">
        <f t="shared" si="4"/>
        <v>12</v>
      </c>
      <c r="Q8" s="804">
        <v>0.1</v>
      </c>
      <c r="R8" s="77">
        <f ca="1">SUMIF('数据-汇总表'!C$19:C$33,A8,'数据-汇总表'!R$19:R$27)</f>
        <v>504.26</v>
      </c>
      <c r="S8" s="54">
        <f>IF('数据-汇总表'!$I$17="按面积比例",SUMIF('数据-汇总表'!C$19:C$33,A8,'数据-汇总表'!K$19:K$33),SUMIF('数据-汇总表'!C$19:C$33,A8,'数据-汇总表'!N$19:N$33))</f>
        <v>325.33</v>
      </c>
      <c r="T8" s="1442">
        <f t="shared" si="5"/>
        <v>65</v>
      </c>
      <c r="U8" s="805">
        <v>1.2</v>
      </c>
      <c r="V8" s="806">
        <v>1.4999999999999999E-2</v>
      </c>
      <c r="W8" s="806">
        <v>0.1</v>
      </c>
      <c r="X8" s="1260"/>
      <c r="Y8" s="80">
        <v>1</v>
      </c>
      <c r="Z8" s="81"/>
      <c r="AA8" s="74"/>
      <c r="AB8" s="74"/>
      <c r="AC8" s="1260"/>
      <c r="AD8" s="82"/>
      <c r="AE8" s="1261">
        <f t="shared" ca="1" si="6"/>
        <v>41.47</v>
      </c>
      <c r="AF8" s="1804"/>
      <c r="AG8" s="147">
        <f t="shared" si="7"/>
        <v>0</v>
      </c>
      <c r="AH8" s="807"/>
      <c r="AI8" s="85">
        <v>365</v>
      </c>
      <c r="AJ8" s="86"/>
      <c r="AK8" s="87">
        <v>0.02</v>
      </c>
      <c r="AL8" s="88">
        <v>2E-3</v>
      </c>
      <c r="AM8" s="89">
        <v>0.02</v>
      </c>
      <c r="AN8" s="2306" t="s">
        <v>3669</v>
      </c>
      <c r="AO8" s="55">
        <f t="shared" ca="1" si="8"/>
        <v>1208</v>
      </c>
      <c r="AP8" s="2307">
        <f t="shared" si="9"/>
        <v>0</v>
      </c>
      <c r="AQ8" s="55">
        <f t="shared" si="10"/>
        <v>64</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t="str">
        <f>'数据-汇总表'!C22</f>
        <v>地下商业</v>
      </c>
      <c r="B9" s="2304" t="str">
        <f t="shared" si="1"/>
        <v>经营性</v>
      </c>
      <c r="C9" s="2305" t="s">
        <v>1378</v>
      </c>
      <c r="D9" s="1050">
        <f>SUMIF(项目基本情况!D$12:I$12,C9,项目基本情况!D$14:I$14)</f>
        <v>40</v>
      </c>
      <c r="E9" s="1047">
        <f>IF(B9="","",SUMIF(项目基本情况!D$12:I$12,C9,项目基本情况!D$13:I$13))</f>
        <v>54595</v>
      </c>
      <c r="F9" s="72">
        <f>SUMIF(项目基本情况!D$12:I$12,C9,项目基本情况!D$15:I$15)</f>
        <v>31.46</v>
      </c>
      <c r="G9" s="73">
        <f t="shared" si="2"/>
        <v>0.92300000000000004</v>
      </c>
      <c r="H9" s="74">
        <v>5.5E-2</v>
      </c>
      <c r="I9" s="74">
        <v>0.06</v>
      </c>
      <c r="J9" s="74">
        <v>0.09</v>
      </c>
      <c r="K9" s="1250">
        <f>SUMIF('数据-汇总表'!C$19:C$33,A9,'数据-汇总表'!E$19:E$33)</f>
        <v>3957.15</v>
      </c>
      <c r="L9" s="803">
        <f>L7</f>
        <v>3500</v>
      </c>
      <c r="M9" s="75">
        <f t="shared" si="0"/>
        <v>1385</v>
      </c>
      <c r="N9" s="801">
        <v>0.98</v>
      </c>
      <c r="O9" s="75">
        <f t="shared" si="3"/>
        <v>1357</v>
      </c>
      <c r="P9" s="76">
        <f t="shared" si="4"/>
        <v>28</v>
      </c>
      <c r="Q9" s="90">
        <f>Q7</f>
        <v>0.25</v>
      </c>
      <c r="R9" s="77">
        <f ca="1">SUMIF('数据-汇总表'!C$19:C$33,A9,'数据-汇总表'!R$19:R$27)</f>
        <v>851.11</v>
      </c>
      <c r="S9" s="54">
        <f>IF('数据-汇总表'!$I$17="按面积比例",SUMIF('数据-汇总表'!C$19:C$33,A9,'数据-汇总表'!K$19:K$33),SUMIF('数据-汇总表'!C$19:C$33,A9,'数据-汇总表'!N$19:N$33))</f>
        <v>549.11</v>
      </c>
      <c r="T9" s="1442">
        <f t="shared" si="5"/>
        <v>110</v>
      </c>
      <c r="U9" s="78">
        <f>U7*0.5</f>
        <v>5.5</v>
      </c>
      <c r="V9" s="79">
        <f>V7</f>
        <v>3.5000000000000003E-2</v>
      </c>
      <c r="W9" s="79">
        <v>0.1</v>
      </c>
      <c r="X9" s="1260"/>
      <c r="Y9" s="80">
        <v>1</v>
      </c>
      <c r="Z9" s="81"/>
      <c r="AA9" s="74"/>
      <c r="AB9" s="74"/>
      <c r="AC9" s="1260"/>
      <c r="AD9" s="82"/>
      <c r="AE9" s="1261">
        <f t="shared" ca="1" si="6"/>
        <v>0</v>
      </c>
      <c r="AF9" s="1804"/>
      <c r="AG9" s="147">
        <f t="shared" si="7"/>
        <v>0</v>
      </c>
      <c r="AH9" s="83"/>
      <c r="AI9" s="85">
        <v>365</v>
      </c>
      <c r="AJ9" s="86"/>
      <c r="AK9" s="87">
        <v>0.02</v>
      </c>
      <c r="AL9" s="88">
        <v>2E-3</v>
      </c>
      <c r="AM9" s="89">
        <v>0.02</v>
      </c>
      <c r="AN9" s="2306"/>
      <c r="AO9" s="55" t="e">
        <f t="shared" ca="1" si="8"/>
        <v>#REF!</v>
      </c>
      <c r="AP9" s="2307">
        <f t="shared" si="9"/>
        <v>0</v>
      </c>
      <c r="AQ9" s="55">
        <f t="shared" si="10"/>
        <v>108</v>
      </c>
      <c r="AR9" s="55">
        <f t="shared" si="11"/>
        <v>2</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2015</v>
      </c>
      <c r="B14" s="2304" t="s">
        <v>2016</v>
      </c>
      <c r="C14" s="2309" t="s">
        <v>2015</v>
      </c>
      <c r="D14" s="1050"/>
      <c r="E14" s="1047"/>
      <c r="F14" s="72"/>
      <c r="G14" s="73"/>
      <c r="H14" s="1249"/>
      <c r="I14" s="1249"/>
      <c r="J14" s="1249"/>
      <c r="K14" s="1250">
        <f>SUMIF('数据-汇总表'!C$19:C$33,A14,'数据-汇总表'!E$19:E$33)</f>
        <v>9729.7900000000009</v>
      </c>
      <c r="L14" s="91">
        <v>2000</v>
      </c>
      <c r="M14" s="75">
        <f t="shared" si="0"/>
        <v>1946</v>
      </c>
      <c r="N14" s="92">
        <f>N6</f>
        <v>0.98</v>
      </c>
      <c r="O14" s="75">
        <f t="shared" si="3"/>
        <v>1907</v>
      </c>
      <c r="P14" s="76">
        <f t="shared" si="4"/>
        <v>39</v>
      </c>
      <c r="Q14" s="1253"/>
      <c r="R14" s="77"/>
      <c r="S14" s="54"/>
      <c r="T14" s="1442"/>
      <c r="U14" s="723"/>
      <c r="V14" s="1255"/>
      <c r="W14" s="1255"/>
      <c r="X14" s="1256"/>
      <c r="Y14" s="1257"/>
      <c r="Z14" s="1258"/>
      <c r="AA14" s="1259"/>
      <c r="AB14" s="1259"/>
      <c r="AC14" s="1260"/>
      <c r="AD14" s="1256"/>
      <c r="AE14" s="1261"/>
      <c r="AF14" s="55"/>
      <c r="AG14" s="147"/>
      <c r="AH14" s="1261"/>
      <c r="AI14" s="1815"/>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2017</v>
      </c>
      <c r="B15" s="2304" t="s">
        <v>2016</v>
      </c>
      <c r="C15" s="2309" t="s">
        <v>2018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5"/>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2019</v>
      </c>
      <c r="B16" s="97"/>
      <c r="C16" s="1004"/>
      <c r="D16" s="2311"/>
      <c r="E16" s="97"/>
      <c r="F16" s="97"/>
      <c r="G16" s="98">
        <f>ROUND(SUMPRODUCT(G6:G13,K6:K13)/SUMPRODUCT((G6:G13&gt;0)*(K6:K13)),3)</f>
        <v>0.94699999999999995</v>
      </c>
      <c r="H16" s="99">
        <f>ROUND(SUMPRODUCT(H6:H13,K6:K13)/SUMPRODUCT((H6:H13&gt;0)*(K6:K13)),3)</f>
        <v>0.05</v>
      </c>
      <c r="I16" s="100"/>
      <c r="J16" s="100"/>
      <c r="K16" s="101">
        <f>SUM(K6:K15)</f>
        <v>79847.06</v>
      </c>
      <c r="L16" s="102">
        <f>ROUND(M16*10000/SUM(K6:K14),0)</f>
        <v>4025</v>
      </c>
      <c r="M16" s="102">
        <f>SUM(M6:M14)</f>
        <v>32136</v>
      </c>
      <c r="N16" s="103">
        <f>ROUND(SUMPRODUCT(M6:M14,N6:N14)/M16,3)</f>
        <v>0.98</v>
      </c>
      <c r="O16" s="102">
        <f>SUM(O6:O14)</f>
        <v>31492</v>
      </c>
      <c r="P16" s="102">
        <f>SUM(P6:P14)</f>
        <v>644</v>
      </c>
      <c r="Q16" s="104">
        <f>ROUND(SUMPRODUCT(Q6:Q13,K6:K13)/SUMPRODUCT((Q6:Q13&gt;0)*(K6:K13)),2)</f>
        <v>0.24</v>
      </c>
      <c r="R16" s="1254">
        <f ca="1">SUM(R6:R13)</f>
        <v>15080.980000000001</v>
      </c>
      <c r="S16" s="105">
        <f>SUM(S6:S13)</f>
        <v>9729.7900000000009</v>
      </c>
      <c r="T16" s="106">
        <f>IF(SUMIF(T6:T13,"&lt;9E307")=M14,SUMIF(T6:T13,"&lt;9E307"),"有误，请检查")</f>
        <v>1946</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2021</v>
      </c>
      <c r="B19" s="112">
        <v>0</v>
      </c>
      <c r="C19" s="2274" t="s">
        <v>2022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2023</v>
      </c>
      <c r="B20" s="113">
        <v>2</v>
      </c>
      <c r="C20" s="2274" t="s">
        <v>2024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2025</v>
      </c>
      <c r="B21" s="113">
        <v>1.9</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2027</v>
      </c>
      <c r="B23" s="114">
        <f>B19+B21</f>
        <v>1.9</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2028</v>
      </c>
      <c r="B24" s="115">
        <f>B20-B21</f>
        <v>0.10000000000000009</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2029</v>
      </c>
      <c r="B26" s="2317" t="s">
        <v>2030</v>
      </c>
      <c r="C26" s="2318" t="s">
        <v>2031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2032</v>
      </c>
      <c r="B27" s="116">
        <v>160</v>
      </c>
      <c r="C27" s="1764" t="s">
        <v>2033</v>
      </c>
      <c r="D27" s="2320"/>
      <c r="E27" s="1426"/>
      <c r="F27" s="1426"/>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2034</v>
      </c>
      <c r="B28" s="119">
        <v>200</v>
      </c>
      <c r="C28" s="2323"/>
      <c r="D28" s="2320"/>
      <c r="E28" s="1426"/>
      <c r="F28" s="1426"/>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2035</v>
      </c>
      <c r="B29" s="121">
        <v>0</v>
      </c>
      <c r="C29" s="1764" t="s">
        <v>2036</v>
      </c>
      <c r="D29" s="2320"/>
      <c r="E29" s="1426"/>
      <c r="F29" s="1426"/>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2037</v>
      </c>
      <c r="B30" s="724">
        <v>200</v>
      </c>
      <c r="C30" s="2323"/>
      <c r="D30" s="2320"/>
      <c r="E30" s="1426"/>
      <c r="F30" s="1426"/>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2038</v>
      </c>
      <c r="B31" s="120">
        <f>B30-B32</f>
        <v>200</v>
      </c>
      <c r="C31" s="1764"/>
      <c r="D31" s="2320"/>
      <c r="E31" s="1426"/>
      <c r="F31" s="1426"/>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2040</v>
      </c>
      <c r="B33" s="726">
        <v>0.03</v>
      </c>
      <c r="C33" s="1763" t="s">
        <v>2041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2042</v>
      </c>
      <c r="B34" s="122">
        <v>0.03</v>
      </c>
      <c r="C34" s="1763" t="s">
        <v>2043</v>
      </c>
      <c r="D34" s="2275" t="s">
        <v>2044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2045</v>
      </c>
      <c r="B35" s="119">
        <v>200</v>
      </c>
      <c r="C35" s="1763" t="s">
        <v>2046</v>
      </c>
      <c r="D35" s="2320"/>
      <c r="E35" s="1426"/>
      <c r="F35" s="1426"/>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2047</v>
      </c>
      <c r="B36" s="123">
        <v>1.4999999999999999E-2</v>
      </c>
      <c r="C36" s="1763" t="s">
        <v>2048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2049</v>
      </c>
      <c r="B37" s="124">
        <v>0.03</v>
      </c>
      <c r="C37" s="1763" t="s">
        <v>2050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2051</v>
      </c>
      <c r="B38" s="122">
        <v>0.03</v>
      </c>
      <c r="C38" s="1763" t="s">
        <v>2050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2053</v>
      </c>
      <c r="B40" s="1299">
        <f ca="1">存贷款利率!G1</f>
        <v>4.7500000000000001E-2</v>
      </c>
      <c r="C40" s="1763" t="s">
        <v>2054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2058</v>
      </c>
      <c r="B44" s="128">
        <v>0.05</v>
      </c>
      <c r="C44" s="1763" t="s">
        <v>2059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2060</v>
      </c>
      <c r="B45" s="126">
        <v>0.03</v>
      </c>
      <c r="C45" s="1764" t="s">
        <v>2061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2062</v>
      </c>
      <c r="B46" s="126">
        <v>0.02</v>
      </c>
      <c r="C46" s="1764" t="s">
        <v>2063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2064</v>
      </c>
      <c r="B47" s="129"/>
      <c r="C47" s="1764" t="s">
        <v>2065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2066</v>
      </c>
      <c r="B48" s="130">
        <v>0.03</v>
      </c>
      <c r="C48" s="1771" t="s">
        <v>2067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2068</v>
      </c>
      <c r="B49" s="126">
        <v>5.0000000000000001E-4</v>
      </c>
      <c r="C49" s="1771" t="s">
        <v>2069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2070</v>
      </c>
      <c r="B50" s="131">
        <v>1.2E-2</v>
      </c>
      <c r="C50" s="1426"/>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2071</v>
      </c>
      <c r="B51" s="132">
        <v>0.12</v>
      </c>
      <c r="C51" s="1426"/>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2072</v>
      </c>
      <c r="B52" s="133">
        <f>SUMIF(A54:A63,B53,B54:B63)</f>
        <v>1.5</v>
      </c>
      <c r="C52" s="1426"/>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2073</v>
      </c>
      <c r="B53" s="2333" t="s">
        <v>56</v>
      </c>
      <c r="C53" s="1426" t="s">
        <v>2074</v>
      </c>
      <c r="D53" s="2334" t="s">
        <v>2075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2076</v>
      </c>
      <c r="B54" s="84"/>
      <c r="C54" s="1426">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2077</v>
      </c>
      <c r="B55" s="84"/>
      <c r="C55" s="1426">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2078</v>
      </c>
      <c r="B56" s="84"/>
      <c r="C56" s="1426">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2079</v>
      </c>
      <c r="B57" s="84"/>
      <c r="C57" s="1426">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2080</v>
      </c>
      <c r="B58" s="84"/>
      <c r="C58" s="1426">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2081</v>
      </c>
      <c r="B59" s="84">
        <v>1.5</v>
      </c>
      <c r="C59" s="1426">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749" t="s">
        <v>2086</v>
      </c>
      <c r="B1" s="3750"/>
      <c r="C1" s="3750"/>
      <c r="D1" s="3750"/>
      <c r="E1" s="3750"/>
      <c r="F1" s="3750"/>
      <c r="G1" s="375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7" t="s">
        <v>2090</v>
      </c>
      <c r="C3" s="2367" t="s">
        <v>2091</v>
      </c>
      <c r="D3" s="2368"/>
      <c r="E3" s="431" t="s">
        <v>2089</v>
      </c>
      <c r="F3" s="2369" t="s">
        <v>2092</v>
      </c>
      <c r="G3" s="2370" t="s">
        <v>2093</v>
      </c>
      <c r="H3" s="2365"/>
      <c r="I3" s="2365"/>
      <c r="J3" s="2365"/>
      <c r="K3" s="2365"/>
      <c r="L3" s="2365"/>
      <c r="M3" s="2365"/>
      <c r="N3" s="2365"/>
      <c r="O3" s="2365"/>
      <c r="P3" s="2365"/>
      <c r="Q3" s="2365"/>
      <c r="R3" s="2365"/>
    </row>
    <row r="4" spans="1:29" ht="40.5">
      <c r="A4" s="431"/>
      <c r="B4" s="1795" t="s">
        <v>2094</v>
      </c>
      <c r="C4" s="3293" t="s">
        <v>3683</v>
      </c>
      <c r="D4" s="2368"/>
      <c r="E4" s="2371"/>
      <c r="F4" s="42" t="s">
        <v>2095</v>
      </c>
      <c r="G4" s="2372" t="s">
        <v>2096</v>
      </c>
      <c r="H4" s="2365"/>
      <c r="I4" s="2365"/>
      <c r="J4" s="2365"/>
      <c r="K4" s="2365"/>
      <c r="L4" s="2365"/>
      <c r="M4" s="2365"/>
      <c r="N4" s="2365"/>
      <c r="O4" s="2365"/>
      <c r="P4" s="2365"/>
      <c r="Q4" s="2365"/>
      <c r="R4" s="2365"/>
    </row>
    <row r="5" spans="1:29" ht="27">
      <c r="A5" s="431"/>
      <c r="B5" s="1795" t="s">
        <v>2097</v>
      </c>
      <c r="C5" s="3293" t="s">
        <v>3684</v>
      </c>
      <c r="D5" s="2368"/>
      <c r="E5" s="2371"/>
      <c r="F5" s="1795" t="s">
        <v>2098</v>
      </c>
      <c r="G5" s="2372" t="s">
        <v>2099</v>
      </c>
      <c r="H5" s="2365"/>
      <c r="I5" s="2365"/>
      <c r="J5" s="2365"/>
      <c r="K5" s="2365"/>
      <c r="L5" s="2365"/>
      <c r="M5" s="2365"/>
      <c r="N5" s="2365"/>
      <c r="O5" s="2365"/>
      <c r="P5" s="2365"/>
      <c r="Q5" s="2365"/>
      <c r="R5" s="2365"/>
    </row>
    <row r="6" spans="1:29" ht="40.5">
      <c r="A6" s="431"/>
      <c r="B6" s="1795" t="s">
        <v>2100</v>
      </c>
      <c r="C6" s="3294" t="s">
        <v>3685</v>
      </c>
      <c r="D6" s="2368"/>
      <c r="E6" s="2371"/>
      <c r="F6" s="1795" t="s">
        <v>2101</v>
      </c>
      <c r="G6" s="2372" t="s">
        <v>2102</v>
      </c>
      <c r="H6" s="2365"/>
      <c r="I6" s="2365"/>
      <c r="J6" s="2365"/>
      <c r="K6" s="2365"/>
      <c r="L6" s="2365"/>
      <c r="M6" s="2365"/>
      <c r="N6" s="2365"/>
      <c r="O6" s="2365"/>
      <c r="P6" s="2365"/>
      <c r="Q6" s="2365"/>
      <c r="R6" s="2365"/>
    </row>
    <row r="7" spans="1:29" ht="41.25" thickBot="1">
      <c r="A7" s="431"/>
      <c r="B7" s="1795" t="s">
        <v>2098</v>
      </c>
      <c r="C7" s="3294" t="s">
        <v>3686</v>
      </c>
      <c r="D7" s="2373"/>
      <c r="E7" s="2374"/>
      <c r="F7" s="2375" t="s">
        <v>2103</v>
      </c>
      <c r="G7" s="2376" t="s">
        <v>2104</v>
      </c>
      <c r="H7" s="2365"/>
      <c r="I7" s="2365"/>
      <c r="J7" s="2365"/>
      <c r="K7" s="2365"/>
      <c r="L7" s="2365"/>
      <c r="M7" s="2365"/>
      <c r="N7" s="2365"/>
      <c r="O7" s="2365"/>
      <c r="P7" s="2365"/>
      <c r="Q7" s="2365"/>
      <c r="R7" s="2365"/>
    </row>
    <row r="8" spans="1:29" ht="27">
      <c r="A8" s="431"/>
      <c r="B8" s="1795" t="s">
        <v>2101</v>
      </c>
      <c r="C8" s="3294" t="s">
        <v>3687</v>
      </c>
      <c r="D8" s="2373"/>
      <c r="E8" s="2373"/>
      <c r="F8" s="1132"/>
      <c r="G8" s="1132"/>
      <c r="H8" s="2365"/>
      <c r="I8" s="2365"/>
      <c r="J8" s="2365"/>
      <c r="K8" s="2365"/>
      <c r="L8" s="2365"/>
      <c r="M8" s="2365"/>
      <c r="N8" s="2365"/>
      <c r="O8" s="2365"/>
      <c r="P8" s="2365"/>
      <c r="Q8" s="2365"/>
      <c r="R8" s="2365"/>
    </row>
    <row r="9" spans="1:29" ht="27">
      <c r="A9" s="431"/>
      <c r="B9" s="1795" t="s">
        <v>2105</v>
      </c>
      <c r="C9" s="3293" t="s">
        <v>3772</v>
      </c>
      <c r="D9" s="2368"/>
      <c r="E9" s="2373"/>
      <c r="F9" s="1132"/>
      <c r="G9" s="1132"/>
      <c r="H9" s="2365"/>
      <c r="I9" s="2365"/>
      <c r="J9" s="2365"/>
      <c r="K9" s="2365"/>
      <c r="L9" s="2365"/>
      <c r="M9" s="2365"/>
      <c r="N9" s="2365"/>
      <c r="O9" s="2365"/>
      <c r="P9" s="2365"/>
      <c r="Q9" s="2365"/>
      <c r="R9" s="2365"/>
    </row>
    <row r="10" spans="1:29" s="117" customFormat="1" ht="15.75" thickBot="1">
      <c r="A10" s="2377"/>
      <c r="B10" s="2378" t="s">
        <v>2106</v>
      </c>
      <c r="C10" s="2379"/>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8"/>
      <c r="D12" s="2384"/>
      <c r="E12" s="2368"/>
      <c r="F12" s="2373"/>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2107</v>
      </c>
      <c r="B13" s="2384"/>
      <c r="C13" s="2384"/>
      <c r="D13" s="2391"/>
      <c r="E13" s="2384"/>
      <c r="F13" s="2384"/>
      <c r="G13" s="2384"/>
    </row>
    <row r="14" spans="1:29" ht="15.75" thickBot="1">
      <c r="A14" s="2395"/>
      <c r="B14" s="2396"/>
      <c r="C14" s="2397" t="s">
        <v>2108</v>
      </c>
      <c r="D14" s="2368"/>
      <c r="E14" s="2398"/>
      <c r="F14" s="2398"/>
      <c r="G14" s="2362" t="s">
        <v>2109</v>
      </c>
    </row>
    <row r="15" spans="1:29" ht="57">
      <c r="A15" s="68" t="s">
        <v>2110</v>
      </c>
      <c r="B15" s="1266" t="s">
        <v>2090</v>
      </c>
      <c r="C15" s="2399" t="str">
        <f>C3</f>
        <v>估价对象周边居住用地比例、居住小区规模和社区发展完善程度，综合评价居住社区成熟度一般</v>
      </c>
      <c r="D15" s="2368"/>
      <c r="E15" s="2400" t="s">
        <v>2111</v>
      </c>
      <c r="F15" s="1266" t="s">
        <v>2112</v>
      </c>
      <c r="G15" s="135" t="str">
        <f>G3</f>
        <v>估价对象位于XX开发区，园区建设成熟度XX，产业集聚程度XX</v>
      </c>
    </row>
    <row r="16" spans="1:29" ht="42.75">
      <c r="A16" s="645"/>
      <c r="B16" s="2401" t="s">
        <v>2094</v>
      </c>
      <c r="C16" s="2402" t="str">
        <f>C4</f>
        <v>周边商业氛围成熟，人流量大，商业繁华度好</v>
      </c>
      <c r="D16" s="2368"/>
      <c r="E16" s="2403"/>
      <c r="F16" s="2404" t="s">
        <v>2095</v>
      </c>
      <c r="G16" s="136" t="str">
        <f>G4</f>
        <v>估价对象周边道路状况、公共交通通达情况、停车便捷程度，综合评价交通便捷度较好</v>
      </c>
    </row>
    <row r="17" spans="1:18" ht="28.5">
      <c r="A17" s="645"/>
      <c r="B17" s="2401" t="s">
        <v>2097</v>
      </c>
      <c r="C17" s="2402" t="str">
        <f>C5</f>
        <v>周边办公楼项目较多，入驻率高，办公集聚程度好</v>
      </c>
      <c r="D17" s="2373"/>
      <c r="E17" s="2403"/>
      <c r="F17" s="2404" t="s">
        <v>2113</v>
      </c>
      <c r="G17" s="1569"/>
    </row>
    <row r="18" spans="1:18" ht="42.75">
      <c r="A18" s="645"/>
      <c r="B18" s="2404" t="s">
        <v>2100</v>
      </c>
      <c r="C18" s="136" t="str">
        <f>C6</f>
        <v>周边道路状况好、公共交通通达情况好、停车便捷，综合评价交通便捷度好</v>
      </c>
      <c r="D18" s="2373"/>
      <c r="E18" s="2403"/>
      <c r="F18" s="2404" t="s">
        <v>2103</v>
      </c>
      <c r="G18" s="136" t="str">
        <f>G7</f>
        <v>该园区内是否有污染型企业，绿化情况，卫生条件，整体环境状况判断</v>
      </c>
    </row>
    <row r="19" spans="1:18" ht="28.5">
      <c r="A19" s="645"/>
      <c r="B19" s="2404" t="s">
        <v>2114</v>
      </c>
      <c r="C19" s="1569"/>
      <c r="D19" s="2368"/>
      <c r="E19" s="2403"/>
      <c r="F19" s="1795" t="s">
        <v>2098</v>
      </c>
      <c r="G19" s="136" t="str">
        <f>G5</f>
        <v>估价对象所在区域公共配套设施齐备情况</v>
      </c>
    </row>
    <row r="20" spans="1:18" ht="28.5">
      <c r="A20" s="645"/>
      <c r="B20" s="2404" t="s">
        <v>2115</v>
      </c>
      <c r="C20" s="2402" t="str">
        <f>C9</f>
        <v>区域自然环境好；人文环境好；综合评价环境状况好</v>
      </c>
      <c r="D20" s="2373"/>
      <c r="E20" s="2403"/>
      <c r="F20" s="1795" t="s">
        <v>2116</v>
      </c>
      <c r="G20" s="136" t="str">
        <f>G6</f>
        <v>估价对象所在区域基础设施水平</v>
      </c>
    </row>
    <row r="21" spans="1:18" ht="28.5">
      <c r="A21" s="645"/>
      <c r="B21" s="1795" t="s">
        <v>2098</v>
      </c>
      <c r="C21" s="136" t="str">
        <f>C7</f>
        <v>估价对象所在区域公共配套设施齐备</v>
      </c>
      <c r="D21" s="2368"/>
      <c r="E21" s="2403"/>
      <c r="F21" s="2404" t="s">
        <v>2117</v>
      </c>
      <c r="G21" s="2405"/>
    </row>
    <row r="22" spans="1:18" ht="13.5" customHeight="1">
      <c r="A22" s="645"/>
      <c r="B22" s="1795" t="s">
        <v>2101</v>
      </c>
      <c r="C22" s="136" t="str">
        <f>C8</f>
        <v>估价对象所在区域基础设施水平七通</v>
      </c>
      <c r="D22" s="2368"/>
      <c r="E22" s="2403"/>
      <c r="F22" s="2404" t="s">
        <v>2106</v>
      </c>
      <c r="G22" s="1569"/>
    </row>
    <row r="23" spans="1:18" s="2365"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5" customFormat="1" ht="15.75" thickBot="1">
      <c r="A24" s="2409"/>
      <c r="B24" s="2407" t="s">
        <v>2119</v>
      </c>
      <c r="C24" s="137">
        <f>C10</f>
        <v>0</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RowHeight="13.5"/>
  <cols>
    <col min="1" max="1" width="23.375" style="1738" customWidth="1"/>
    <col min="2" max="9" width="15.75" style="1738" customWidth="1"/>
    <col min="10" max="16384" width="9" style="1738"/>
  </cols>
  <sheetData>
    <row r="1" spans="1:10" ht="16.5">
      <c r="A1" s="1743" t="s">
        <v>1366</v>
      </c>
      <c r="B1" s="1743">
        <f>SUM(B14:B23)</f>
        <v>90847.55</v>
      </c>
      <c r="C1" s="1742"/>
      <c r="D1" s="1742"/>
      <c r="E1" s="1742"/>
      <c r="F1" s="1742"/>
      <c r="G1" s="1740"/>
    </row>
    <row r="2" spans="1:10" ht="16.5">
      <c r="A2" s="1743" t="s">
        <v>1354</v>
      </c>
      <c r="B2" s="1743">
        <f>SUM(C14:C23)</f>
        <v>17168.45</v>
      </c>
      <c r="C2" s="1742"/>
      <c r="D2" s="1742"/>
      <c r="E2" s="1742"/>
      <c r="F2" s="1742"/>
      <c r="G2" s="1740"/>
    </row>
    <row r="3" spans="1:10" ht="16.5">
      <c r="A3" s="1743" t="s">
        <v>1363</v>
      </c>
      <c r="B3" s="1744">
        <f>项目基本情况!D3</f>
        <v>43110</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220645</v>
      </c>
      <c r="C5" s="1743">
        <f ca="1">ROUND(B5*10000/$B$1,0)</f>
        <v>24287</v>
      </c>
      <c r="D5" s="1743">
        <f ca="1">ROUND(B5*10000/$B$2,0)</f>
        <v>128518</v>
      </c>
      <c r="E5" s="1742"/>
      <c r="F5" s="1740"/>
      <c r="G5" s="1740"/>
    </row>
    <row r="6" spans="1:10" ht="16.5">
      <c r="A6" s="1743" t="s">
        <v>1357</v>
      </c>
      <c r="B6" s="1743">
        <f ca="1">SUM(G14:G23)</f>
        <v>220645</v>
      </c>
      <c r="C6" s="1743">
        <f ca="1">ROUND(B6*10000/$B$1,0)</f>
        <v>24287</v>
      </c>
      <c r="D6" s="1743">
        <f ca="1">ROUND(B6*10000/$B$2,0)</f>
        <v>128518</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79847.06</v>
      </c>
      <c r="C14" s="1741">
        <f>结果表!C118</f>
        <v>15080.97</v>
      </c>
      <c r="D14" s="1741">
        <f ca="1">结果表!H118</f>
        <v>217994</v>
      </c>
      <c r="E14" s="1741">
        <f ca="1">ROUND(D14*10000/B14,0)</f>
        <v>27301</v>
      </c>
      <c r="F14" s="1741">
        <f ca="1">ROUND(D14*10000/C14,0)</f>
        <v>144549</v>
      </c>
      <c r="G14" s="1741">
        <f ca="1">结果表!D122</f>
        <v>217994</v>
      </c>
      <c r="H14" s="1741" t="str">
        <f>结果表!D124</f>
        <v>——</v>
      </c>
      <c r="I14" s="1741" t="str">
        <f>结果表!D126</f>
        <v>——</v>
      </c>
      <c r="J14" s="1740"/>
    </row>
    <row r="15" spans="1:10" ht="16.5">
      <c r="A15" s="1739" t="s">
        <v>1350</v>
      </c>
      <c r="B15" s="1746">
        <f>'[2]数据-汇总表'!$F$19</f>
        <v>11000.49</v>
      </c>
      <c r="C15" s="1746">
        <f>'[2]数据-汇总表'!$D$19</f>
        <v>2087.48</v>
      </c>
      <c r="D15" s="1746">
        <f>[2]成本法!$C$51</f>
        <v>2651</v>
      </c>
      <c r="E15" s="1741">
        <f t="shared" ref="E15:E23" si="0">ROUND(D15*10000/B15,0)</f>
        <v>2410</v>
      </c>
      <c r="F15" s="1741">
        <f t="shared" ref="F15:F23" si="1">ROUND(D15*10000/C15,0)</f>
        <v>12700</v>
      </c>
      <c r="G15" s="1747">
        <f>D15</f>
        <v>2651</v>
      </c>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2" sqref="H3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2120</v>
      </c>
      <c r="B1" s="2415"/>
      <c r="C1" s="2416"/>
      <c r="D1" s="2415"/>
      <c r="E1" s="2415"/>
      <c r="F1" s="2417" t="s">
        <v>2121</v>
      </c>
      <c r="G1" s="2069" t="s">
        <v>2122</v>
      </c>
      <c r="H1" s="2418" t="str">
        <f>IF(G1="现房","——","估价对象范围")</f>
        <v>估价对象范围</v>
      </c>
      <c r="I1" s="2419" t="s">
        <v>3680</v>
      </c>
    </row>
    <row r="2" spans="1:12" ht="21.75" customHeight="1" thickBot="1">
      <c r="A2" s="3784" t="str">
        <f>项目基本情况!S2</f>
        <v>出让国有建设用地使用权及在建建筑物房地产</v>
      </c>
      <c r="B2" s="3785"/>
      <c r="C2" s="3785"/>
      <c r="D2" s="3785"/>
      <c r="E2" s="3785"/>
      <c r="F2" s="3785"/>
      <c r="G2" s="3785"/>
      <c r="H2" s="3785"/>
      <c r="I2" s="3786"/>
    </row>
    <row r="3" spans="1:12" ht="12.75">
      <c r="A3" s="3788" t="s">
        <v>2123</v>
      </c>
      <c r="B3" s="3789"/>
      <c r="C3" s="3789"/>
      <c r="D3" s="3789"/>
      <c r="E3" s="3789"/>
      <c r="F3" s="3789"/>
      <c r="G3" s="3789"/>
      <c r="H3" s="3789"/>
      <c r="I3" s="3789"/>
    </row>
    <row r="4" spans="1:12" ht="14.25">
      <c r="A4" s="2422" t="s">
        <v>2124</v>
      </c>
      <c r="B4" s="2423" t="s">
        <v>2125</v>
      </c>
      <c r="C4" s="2424" t="s">
        <v>3681</v>
      </c>
      <c r="D4" s="2424" t="s">
        <v>3682</v>
      </c>
      <c r="E4" s="3781" t="s">
        <v>2126</v>
      </c>
      <c r="F4" s="3782"/>
      <c r="G4" s="3782"/>
      <c r="H4" s="3782"/>
      <c r="I4" s="379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764" t="s">
        <v>2127</v>
      </c>
      <c r="B5" s="3702">
        <v>25</v>
      </c>
      <c r="C5" s="3767"/>
      <c r="D5" s="3787"/>
      <c r="E5" s="140" t="s">
        <v>2128</v>
      </c>
      <c r="F5" s="2426"/>
      <c r="G5" s="2426"/>
      <c r="H5" s="2426"/>
      <c r="I5" s="1831"/>
    </row>
    <row r="6" spans="1:12" ht="12.75">
      <c r="A6" s="3764"/>
      <c r="B6" s="3702"/>
      <c r="C6" s="3768"/>
      <c r="D6" s="3787"/>
      <c r="E6" s="140" t="s">
        <v>2129</v>
      </c>
      <c r="F6" s="2426"/>
      <c r="G6" s="2426"/>
      <c r="H6" s="2426"/>
      <c r="I6" s="1831"/>
    </row>
    <row r="7" spans="1:12" ht="12.75">
      <c r="A7" s="3764"/>
      <c r="B7" s="3702"/>
      <c r="C7" s="3769"/>
      <c r="D7" s="3787"/>
      <c r="E7" s="140" t="s">
        <v>2130</v>
      </c>
      <c r="F7" s="2426"/>
      <c r="G7" s="2426"/>
      <c r="H7" s="2426"/>
      <c r="I7" s="1831"/>
    </row>
    <row r="8" spans="1:12" ht="12.75">
      <c r="A8" s="3764" t="s">
        <v>2131</v>
      </c>
      <c r="B8" s="3702">
        <v>15</v>
      </c>
      <c r="C8" s="3767"/>
      <c r="D8" s="3787"/>
      <c r="E8" s="140" t="s">
        <v>2132</v>
      </c>
      <c r="F8" s="2426"/>
      <c r="G8" s="2426"/>
      <c r="H8" s="2426"/>
      <c r="I8" s="1831"/>
    </row>
    <row r="9" spans="1:12" ht="12.75">
      <c r="A9" s="3764"/>
      <c r="B9" s="3702"/>
      <c r="C9" s="3769"/>
      <c r="D9" s="3787"/>
      <c r="E9" s="140" t="s">
        <v>2133</v>
      </c>
      <c r="F9" s="2426"/>
      <c r="G9" s="2426"/>
      <c r="H9" s="2426"/>
      <c r="I9" s="1831"/>
    </row>
    <row r="10" spans="1:12" ht="12.75">
      <c r="A10" s="3764" t="s">
        <v>2134</v>
      </c>
      <c r="B10" s="3702">
        <v>15</v>
      </c>
      <c r="C10" s="3767"/>
      <c r="D10" s="3787"/>
      <c r="E10" s="140" t="s">
        <v>2135</v>
      </c>
      <c r="F10" s="2426"/>
      <c r="G10" s="2426"/>
      <c r="H10" s="2426"/>
      <c r="I10" s="1831"/>
    </row>
    <row r="11" spans="1:12" ht="12.75">
      <c r="A11" s="3764"/>
      <c r="B11" s="3702"/>
      <c r="C11" s="3769"/>
      <c r="D11" s="3787"/>
      <c r="E11" s="140" t="s">
        <v>2136</v>
      </c>
      <c r="F11" s="2426"/>
      <c r="G11" s="2426"/>
      <c r="H11" s="2426"/>
      <c r="I11" s="1831"/>
    </row>
    <row r="12" spans="1:12" ht="12.75">
      <c r="A12" s="3764" t="s">
        <v>2137</v>
      </c>
      <c r="B12" s="3702">
        <v>15</v>
      </c>
      <c r="C12" s="3767"/>
      <c r="D12" s="3787"/>
      <c r="E12" s="140" t="s">
        <v>2138</v>
      </c>
      <c r="F12" s="2426"/>
      <c r="G12" s="2426"/>
      <c r="H12" s="2426"/>
      <c r="I12" s="1831"/>
    </row>
    <row r="13" spans="1:12" ht="12.75">
      <c r="A13" s="3764"/>
      <c r="B13" s="3702"/>
      <c r="C13" s="3769"/>
      <c r="D13" s="3787"/>
      <c r="E13" s="140" t="s">
        <v>2139</v>
      </c>
      <c r="F13" s="2426"/>
      <c r="G13" s="2426"/>
      <c r="H13" s="2426"/>
      <c r="I13" s="1831"/>
    </row>
    <row r="14" spans="1:12" ht="12.75">
      <c r="A14" s="3764" t="s">
        <v>2140</v>
      </c>
      <c r="B14" s="3702">
        <v>30</v>
      </c>
      <c r="C14" s="3767">
        <v>0.45</v>
      </c>
      <c r="D14" s="3787">
        <f>1-C14</f>
        <v>0.55000000000000004</v>
      </c>
      <c r="E14" s="140" t="s">
        <v>2141</v>
      </c>
      <c r="F14" s="2426"/>
      <c r="G14" s="2426"/>
      <c r="H14" s="2426"/>
      <c r="I14" s="1831"/>
    </row>
    <row r="15" spans="1:12" ht="12.75">
      <c r="A15" s="3764"/>
      <c r="B15" s="3702"/>
      <c r="C15" s="3768"/>
      <c r="D15" s="3787"/>
      <c r="E15" s="140" t="s">
        <v>2142</v>
      </c>
      <c r="F15" s="2426"/>
      <c r="G15" s="2426"/>
      <c r="H15" s="2426"/>
      <c r="I15" s="1831"/>
    </row>
    <row r="16" spans="1:12" ht="12.75">
      <c r="A16" s="3764"/>
      <c r="B16" s="3702"/>
      <c r="C16" s="3769"/>
      <c r="D16" s="3787"/>
      <c r="E16" s="140" t="s">
        <v>2143</v>
      </c>
      <c r="F16" s="2426"/>
      <c r="G16" s="2426"/>
      <c r="H16" s="2426"/>
      <c r="I16" s="1831"/>
    </row>
    <row r="17" spans="1:35" ht="15">
      <c r="A17" s="2427" t="s">
        <v>2144</v>
      </c>
      <c r="B17" s="64"/>
      <c r="C17" s="141">
        <f>SUM(C5:C16)</f>
        <v>0.45</v>
      </c>
      <c r="D17" s="141">
        <f>SUM(D5:D16)</f>
        <v>0.55000000000000004</v>
      </c>
      <c r="E17" s="138"/>
      <c r="F17" s="138"/>
      <c r="G17" s="138"/>
      <c r="H17" s="138"/>
      <c r="I17" s="138"/>
      <c r="K17" s="2425"/>
      <c r="L17" s="2428" t="s">
        <v>2145</v>
      </c>
      <c r="M17" s="2428" t="s">
        <v>2146</v>
      </c>
    </row>
    <row r="18" spans="1:35" ht="15.75" thickBot="1">
      <c r="A18" s="2429" t="s">
        <v>2147</v>
      </c>
      <c r="B18" s="2430"/>
      <c r="C18" s="142">
        <f>ROUND(C17/SUM(C17:D17),2)</f>
        <v>0.45</v>
      </c>
      <c r="D18" s="142">
        <f>1-C18</f>
        <v>0.55000000000000004</v>
      </c>
      <c r="E18" s="138"/>
      <c r="F18" s="138"/>
      <c r="G18" s="138"/>
      <c r="H18" s="138"/>
      <c r="I18" s="138"/>
      <c r="K18" s="2425" t="s">
        <v>2148</v>
      </c>
      <c r="L18" s="2425">
        <f>IF(C1="",'数据-汇总表'!E3,SUMIF(项目类型,C1,'数据-汇总表'!E17:E26)+SUMIF(项目类型,C1,'数据-汇总表'!I17:I26))</f>
        <v>79847.06</v>
      </c>
      <c r="M18" s="2425">
        <f>IF(C1="",'数据-汇总表'!E3,SUMIF(项目类型,C1,'数据-汇总表'!E17:E26))</f>
        <v>79847.06</v>
      </c>
    </row>
    <row r="19" spans="1:35" ht="15">
      <c r="A19" s="2431" t="s">
        <v>2149</v>
      </c>
      <c r="B19" s="2432" t="s">
        <v>2150</v>
      </c>
      <c r="C19" s="143">
        <f ca="1">SUMIF(INDIRECT("'"&amp;C4&amp;"'"&amp;"!A:A"),结果表!B19,INDIRECT("'"&amp;C4&amp;"'"&amp;"!B:B"))</f>
        <v>166200</v>
      </c>
      <c r="D19" s="144">
        <f ca="1">SUMIF(INDIRECT("'"&amp;D4&amp;"'"&amp;"!A:A"),结果表!B19,INDIRECT("'"&amp;D4&amp;"'"&amp;"!B:B"))</f>
        <v>260370</v>
      </c>
      <c r="E19" s="2431" t="s">
        <v>2151</v>
      </c>
      <c r="F19" s="2432" t="s">
        <v>2150</v>
      </c>
      <c r="G19" s="145">
        <f ca="1">ROUND(C19*$C$18+D19*$D$18,0)</f>
        <v>217994</v>
      </c>
      <c r="H19" s="2433" t="s">
        <v>2152</v>
      </c>
      <c r="I19" s="138"/>
      <c r="K19" s="2425" t="s">
        <v>2153</v>
      </c>
      <c r="L19" s="2425">
        <f>IF(C1="",'数据-汇总表'!D3,SUMIF(项目类型,C1,'数据-汇总表'!D17:D26)+SUMIF(项目类型,C1,'数据-汇总表'!H17:H27))</f>
        <v>15080.97</v>
      </c>
      <c r="M19" s="2425">
        <f>IF(C1="",'数据-汇总表'!D3,SUMIF(项目类型,C1,'数据-汇总表'!D17:D26))</f>
        <v>15080.97</v>
      </c>
    </row>
    <row r="20" spans="1:35" ht="15">
      <c r="A20" s="2434"/>
      <c r="B20" s="1246" t="s">
        <v>2154</v>
      </c>
      <c r="C20" s="146">
        <f ca="1">SUMIF(INDIRECT("'"&amp;C4&amp;"'"&amp;"!A:A"),结果表!B20,INDIRECT("'"&amp;C4&amp;"'"&amp;"!B:B"))</f>
        <v>20815</v>
      </c>
      <c r="D20" s="147">
        <f ca="1">SUMIF(INDIRECT("'"&amp;D4&amp;"'"&amp;"!A:A"),结果表!B20,INDIRECT("'"&amp;D4&amp;"'"&amp;"!B:B"))</f>
        <v>32609</v>
      </c>
      <c r="E20" s="2434"/>
      <c r="F20" s="1246" t="s">
        <v>2154</v>
      </c>
      <c r="G20" s="148">
        <f ca="1">ROUND(C20*$C$18+D20*$D$18,0)</f>
        <v>27302</v>
      </c>
      <c r="H20" s="979" t="s">
        <v>2155</v>
      </c>
      <c r="I20" s="138"/>
    </row>
    <row r="21" spans="1:35" ht="15" customHeight="1" thickBot="1">
      <c r="A21" s="999"/>
      <c r="B21" s="2435" t="s">
        <v>2156</v>
      </c>
      <c r="C21" s="789">
        <f ca="1">ROUND(C19*10000/L19,0)</f>
        <v>110205</v>
      </c>
      <c r="D21" s="790">
        <f ca="1">ROUND(D19*10000/L19,0)</f>
        <v>172648</v>
      </c>
      <c r="E21" s="999"/>
      <c r="F21" s="2435" t="s">
        <v>2156</v>
      </c>
      <c r="G21" s="149">
        <f ca="1">ROUND(G19*10000/L19,0)</f>
        <v>144549</v>
      </c>
      <c r="H21" s="2436" t="s">
        <v>2155</v>
      </c>
      <c r="I21" s="138"/>
    </row>
    <row r="22" spans="1:35" ht="15" thickBot="1">
      <c r="A22" s="2278" t="s">
        <v>2157</v>
      </c>
      <c r="B22" s="2437"/>
      <c r="C22" s="2438"/>
      <c r="D22" s="791">
        <f ca="1">IF(C19&lt;D19,D19/C19-1,C19/D19-1)</f>
        <v>0.56660649819494591</v>
      </c>
      <c r="E22" s="138"/>
      <c r="F22" s="138"/>
      <c r="G22" s="138"/>
      <c r="H22" s="138"/>
      <c r="I22" s="138"/>
    </row>
    <row r="23" spans="1:35" ht="13.5" thickBot="1">
      <c r="A23" s="2415"/>
      <c r="B23" s="2415"/>
      <c r="C23" s="2415"/>
      <c r="D23" s="2415"/>
      <c r="E23" s="138"/>
      <c r="F23" s="138"/>
      <c r="G23" s="138"/>
      <c r="H23" s="138"/>
      <c r="I23" s="138"/>
    </row>
    <row r="24" spans="1:35" ht="14.25">
      <c r="A24" s="3758" t="s">
        <v>2158</v>
      </c>
      <c r="B24" s="2432" t="s">
        <v>2150</v>
      </c>
      <c r="C24" s="145">
        <f>IF(B30=0,0,D30)</f>
        <v>0</v>
      </c>
      <c r="D24" s="2439"/>
      <c r="E24" s="138"/>
      <c r="F24" s="138"/>
      <c r="G24" s="138"/>
      <c r="H24" s="138"/>
      <c r="I24" s="138"/>
    </row>
    <row r="25" spans="1:35" ht="14.25">
      <c r="A25" s="3759"/>
      <c r="B25" s="1246"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217994</v>
      </c>
      <c r="D32" s="2446" t="s">
        <v>2165</v>
      </c>
      <c r="E32" s="138"/>
      <c r="F32" s="138"/>
      <c r="G32" s="138"/>
      <c r="H32" s="138"/>
      <c r="I32" s="138"/>
    </row>
    <row r="33" spans="1:15" ht="15">
      <c r="A33" s="956"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2169</v>
      </c>
      <c r="F34" s="1736"/>
      <c r="G34" s="138"/>
      <c r="H34" s="138"/>
      <c r="I34" s="138"/>
    </row>
    <row r="35" spans="1:15" ht="15.75" thickBot="1">
      <c r="A35" s="2455"/>
      <c r="B35" s="2456" t="s">
        <v>2170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776" t="s">
        <v>2172</v>
      </c>
      <c r="B36" s="2458" t="s">
        <v>2173</v>
      </c>
      <c r="C36" s="154"/>
      <c r="D36" s="2459"/>
      <c r="E36" s="2460"/>
      <c r="F36" s="2461"/>
      <c r="G36" s="138"/>
      <c r="H36" s="138"/>
      <c r="I36" s="138"/>
    </row>
    <row r="37" spans="1:15" ht="15.75" thickBot="1">
      <c r="A37" s="3777"/>
      <c r="B37" s="2264" t="s">
        <v>2174</v>
      </c>
      <c r="C37" s="156"/>
      <c r="D37" s="1391"/>
      <c r="E37" s="1391"/>
      <c r="F37" s="2461"/>
      <c r="G37" s="138"/>
      <c r="H37" s="138"/>
      <c r="I37" s="138"/>
    </row>
    <row r="38" spans="1:15" ht="15.75" thickBot="1">
      <c r="A38" s="3778"/>
      <c r="B38" s="2462" t="s">
        <v>2175</v>
      </c>
      <c r="C38" s="727"/>
      <c r="D38" s="2463" t="s">
        <v>2176</v>
      </c>
      <c r="E38" s="1391"/>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755" t="s">
        <v>2186</v>
      </c>
      <c r="B45" s="3756"/>
      <c r="C45" s="3757"/>
      <c r="D45" s="164">
        <f ca="1">ROUND(H101*F45,0)</f>
        <v>217994</v>
      </c>
      <c r="E45" s="165" t="s">
        <v>2187</v>
      </c>
      <c r="F45" s="166">
        <v>1</v>
      </c>
      <c r="G45" s="167" t="s">
        <v>2188</v>
      </c>
      <c r="H45" s="138"/>
      <c r="I45" s="138"/>
      <c r="J45" s="3815" t="s">
        <v>2189</v>
      </c>
      <c r="K45" s="3815"/>
      <c r="L45" s="3815"/>
      <c r="M45" s="3815"/>
      <c r="N45" s="3815"/>
      <c r="O45" s="3815"/>
    </row>
    <row r="46" spans="1:15" ht="14.25" customHeight="1">
      <c r="A46" s="3752" t="s">
        <v>2190</v>
      </c>
      <c r="B46" s="3753"/>
      <c r="C46" s="3753"/>
      <c r="D46" s="3753"/>
      <c r="E46" s="3753"/>
      <c r="F46" s="3753"/>
      <c r="G46" s="3754"/>
      <c r="H46" s="2477"/>
      <c r="I46" s="168"/>
      <c r="J46" s="1809">
        <v>1</v>
      </c>
      <c r="K46" s="3815" t="s">
        <v>2191</v>
      </c>
      <c r="L46" s="3815"/>
      <c r="M46" s="3835"/>
      <c r="N46" s="3835"/>
      <c r="O46" s="3835"/>
    </row>
    <row r="47" spans="1:15" ht="12" customHeight="1">
      <c r="A47" s="169" t="s">
        <v>2192</v>
      </c>
      <c r="B47" s="170"/>
      <c r="C47" s="171"/>
      <c r="D47" s="172" t="s">
        <v>2193</v>
      </c>
      <c r="E47" s="24" t="s">
        <v>2194</v>
      </c>
      <c r="F47" s="173" t="s">
        <v>2195</v>
      </c>
      <c r="G47" s="174" t="s">
        <v>2196</v>
      </c>
      <c r="H47" s="2477"/>
      <c r="I47" s="168"/>
      <c r="J47" s="1809">
        <v>2</v>
      </c>
      <c r="K47" s="3815" t="s">
        <v>2197</v>
      </c>
      <c r="L47" s="3815"/>
      <c r="M47" s="3836">
        <f>'数据-取费表'!B2</f>
        <v>43110</v>
      </c>
      <c r="N47" s="3836"/>
      <c r="O47" s="3836"/>
    </row>
    <row r="48" spans="1:15" ht="25.5">
      <c r="A48" s="3783" t="s">
        <v>2198</v>
      </c>
      <c r="B48" s="3766"/>
      <c r="C48" s="3766"/>
      <c r="D48" s="140">
        <f>IF(H48="情况1",0,IF(H48="情况2",D52,IF(H48="情况3",D53,IF(H48="情况4",D54))))</f>
        <v>0</v>
      </c>
      <c r="E48" s="1798" t="str">
        <f>IF(H48="情况4","(销售额-原购置价)×税（费）率","销售额×税（费）率")</f>
        <v>销售额×税（费）率</v>
      </c>
      <c r="F48" s="175" t="str">
        <f>IF(H48="情况1","免征",'数据-取费表'!B41)</f>
        <v>免征</v>
      </c>
      <c r="G48" s="2478" t="s">
        <v>2199</v>
      </c>
      <c r="H48" s="2479" t="s">
        <v>2200</v>
      </c>
      <c r="I48" s="2477"/>
      <c r="J48" s="1809">
        <v>3</v>
      </c>
      <c r="K48" s="3815" t="s">
        <v>2201</v>
      </c>
      <c r="L48" s="3815"/>
      <c r="M48" s="3837">
        <f ca="1">H101</f>
        <v>217994</v>
      </c>
      <c r="N48" s="3837"/>
      <c r="O48" s="3837"/>
    </row>
    <row r="49" spans="1:35" ht="25.5" customHeight="1">
      <c r="A49" s="176" t="s">
        <v>2202</v>
      </c>
      <c r="B49" s="3751" t="s">
        <v>2203</v>
      </c>
      <c r="C49" s="3751"/>
      <c r="D49" s="177">
        <v>0</v>
      </c>
      <c r="E49" s="23" t="s">
        <v>2204</v>
      </c>
      <c r="F49" s="28" t="s">
        <v>34</v>
      </c>
      <c r="G49" s="3821"/>
      <c r="H49" s="138"/>
      <c r="I49" s="2480"/>
      <c r="J49" s="1809">
        <v>4</v>
      </c>
      <c r="K49" s="3815" t="str">
        <f>IF(项目基本情况!E8="房地产抵押价值","房地产抵押价值","抵押担保权已注销时的房地产抵押价值")</f>
        <v>房地产抵押价值</v>
      </c>
      <c r="L49" s="3815"/>
      <c r="M49" s="3837">
        <f ca="1">IF(项目基本情况!E8="房地产抵押价值",H107,H109)</f>
        <v>217994</v>
      </c>
      <c r="N49" s="3837"/>
      <c r="O49" s="3837"/>
    </row>
    <row r="50" spans="1:35" ht="25.5" customHeight="1">
      <c r="A50" s="178"/>
      <c r="B50" s="3751" t="s">
        <v>2205</v>
      </c>
      <c r="C50" s="3751"/>
      <c r="D50" s="179"/>
      <c r="E50" s="31"/>
      <c r="F50" s="180"/>
      <c r="G50" s="3822"/>
      <c r="H50" s="138"/>
      <c r="I50" s="2480"/>
      <c r="J50" s="3815" t="s">
        <v>2206</v>
      </c>
      <c r="K50" s="3815"/>
      <c r="L50" s="3815"/>
      <c r="M50" s="3815"/>
      <c r="N50" s="3815"/>
      <c r="O50" s="3815"/>
    </row>
    <row r="51" spans="1:35" ht="12" customHeight="1">
      <c r="A51" s="181"/>
      <c r="B51" s="3751" t="s">
        <v>2207</v>
      </c>
      <c r="C51" s="3751"/>
      <c r="D51" s="182"/>
      <c r="E51" s="30"/>
      <c r="F51" s="180"/>
      <c r="G51" s="3823"/>
      <c r="H51" s="138"/>
      <c r="I51" s="2480"/>
      <c r="J51" s="2481" t="s">
        <v>2208</v>
      </c>
      <c r="K51" s="3815" t="s">
        <v>2209</v>
      </c>
      <c r="L51" s="3815"/>
      <c r="M51" s="2481" t="s">
        <v>2210</v>
      </c>
      <c r="N51" s="2481" t="s">
        <v>2211</v>
      </c>
      <c r="O51" s="2481" t="s">
        <v>2212</v>
      </c>
    </row>
    <row r="52" spans="1:35" ht="24" customHeight="1">
      <c r="A52" s="183" t="s">
        <v>2213</v>
      </c>
      <c r="B52" s="3751" t="s">
        <v>2214</v>
      </c>
      <c r="C52" s="3751"/>
      <c r="D52" s="182">
        <f ca="1">ROUND(D45*'数据-取费表'!B41/(1+'数据-取费表'!C42),0)</f>
        <v>11419</v>
      </c>
      <c r="E52" s="11" t="s">
        <v>2215</v>
      </c>
      <c r="F52" s="184">
        <f>'数据-取费表'!B41</f>
        <v>5.5000000000000007E-2</v>
      </c>
      <c r="G52" s="2482"/>
      <c r="H52" s="138"/>
      <c r="I52" s="2480"/>
      <c r="J52" s="1809">
        <v>1</v>
      </c>
      <c r="K52" s="3816" t="s">
        <v>2216</v>
      </c>
      <c r="L52" s="3816"/>
      <c r="M52" s="1751">
        <f>D48</f>
        <v>0</v>
      </c>
      <c r="N52" s="1809" t="str">
        <f>E48</f>
        <v>销售额×税（费）率</v>
      </c>
      <c r="O52" s="1752" t="str">
        <f>F48</f>
        <v>免征</v>
      </c>
    </row>
    <row r="53" spans="1:35" ht="12" customHeight="1">
      <c r="A53" s="183" t="s">
        <v>2217</v>
      </c>
      <c r="B53" s="3774" t="s">
        <v>2218</v>
      </c>
      <c r="C53" s="3775"/>
      <c r="D53" s="182">
        <f ca="1">ROUND(D45*'数据-取费表'!B41/(1+'数据-取费表'!C42),0)</f>
        <v>11419</v>
      </c>
      <c r="E53" s="11" t="s">
        <v>2215</v>
      </c>
      <c r="F53" s="184">
        <f>'数据-取费表'!B41</f>
        <v>5.5000000000000007E-2</v>
      </c>
      <c r="G53" s="2482"/>
      <c r="H53" s="138"/>
      <c r="I53" s="2480"/>
      <c r="J53" s="1809">
        <v>2</v>
      </c>
      <c r="K53" s="3816" t="s">
        <v>2219</v>
      </c>
      <c r="L53" s="3816"/>
      <c r="M53" s="1751">
        <f t="shared" ref="M53:O54" ca="1" si="0">D55</f>
        <v>109</v>
      </c>
      <c r="N53" s="1809" t="str">
        <f t="shared" si="0"/>
        <v>销售额×税（费）率</v>
      </c>
      <c r="O53" s="1752">
        <f t="shared" si="0"/>
        <v>5.0000000000000001E-4</v>
      </c>
    </row>
    <row r="54" spans="1:35" ht="12" customHeight="1">
      <c r="A54" s="183" t="s">
        <v>2220</v>
      </c>
      <c r="B54" s="3774" t="s">
        <v>2221</v>
      </c>
      <c r="C54" s="3775"/>
      <c r="D54" s="182">
        <f ca="1">C68</f>
        <v>11419</v>
      </c>
      <c r="E54" s="30" t="s">
        <v>2222</v>
      </c>
      <c r="F54" s="184">
        <f>'数据-取费表'!B41</f>
        <v>5.5000000000000007E-2</v>
      </c>
      <c r="G54" s="2482"/>
      <c r="H54" s="2483"/>
      <c r="I54" s="2480"/>
      <c r="J54" s="1809">
        <v>3</v>
      </c>
      <c r="K54" s="3816" t="s">
        <v>2223</v>
      </c>
      <c r="L54" s="3816"/>
      <c r="M54" s="1751">
        <f t="shared" ca="1" si="0"/>
        <v>123582</v>
      </c>
      <c r="N54" s="1809" t="str">
        <f t="shared" si="0"/>
        <v>增值额×税（费）率</v>
      </c>
      <c r="O54" s="1753" t="str">
        <f t="shared" si="0"/>
        <v>——</v>
      </c>
    </row>
    <row r="55" spans="1:35" ht="24" customHeight="1">
      <c r="A55" s="3765" t="s">
        <v>2224</v>
      </c>
      <c r="B55" s="3766"/>
      <c r="C55" s="3766"/>
      <c r="D55" s="185">
        <f ca="1">IF(H55="个人住宅",0,ROUND(D45*I55,0))</f>
        <v>109</v>
      </c>
      <c r="E55" s="11" t="s">
        <v>2225</v>
      </c>
      <c r="F55" s="184">
        <f>IF(H55="正常",I55,"免征")</f>
        <v>5.0000000000000001E-4</v>
      </c>
      <c r="G55" s="2482"/>
      <c r="H55" s="2479" t="s">
        <v>2226</v>
      </c>
      <c r="I55" s="186">
        <f>'数据-取费表'!B49</f>
        <v>5.0000000000000001E-4</v>
      </c>
      <c r="J55" s="1809" t="str">
        <f>IF(H59="非个人房产","",4)</f>
        <v/>
      </c>
      <c r="K55" s="3816" t="str">
        <f>IF(H59="非个人房产","——","个人所得税")</f>
        <v>——</v>
      </c>
      <c r="L55" s="3816"/>
      <c r="M55" s="1754" t="str">
        <f>D59</f>
        <v>——</v>
      </c>
      <c r="N55" s="1807" t="str">
        <f>E59</f>
        <v>——</v>
      </c>
      <c r="O55" s="1755" t="str">
        <f>F59</f>
        <v>——</v>
      </c>
    </row>
    <row r="56" spans="1:35" ht="24.75">
      <c r="A56" s="3765" t="s">
        <v>2227</v>
      </c>
      <c r="B56" s="3766"/>
      <c r="C56" s="3766"/>
      <c r="D56" s="185">
        <f ca="1">IF(H56="个人住宅",D57,D58)</f>
        <v>123582</v>
      </c>
      <c r="E56" s="11" t="s">
        <v>2228</v>
      </c>
      <c r="F56" s="184" t="str">
        <f>IF(H56="正常",F58,"免征")</f>
        <v>——</v>
      </c>
      <c r="G56" s="2484" t="s">
        <v>2229</v>
      </c>
      <c r="H56" s="2485" t="s">
        <v>2226</v>
      </c>
      <c r="I56" s="2486"/>
      <c r="J56" s="1809" t="str">
        <f>IF(项目基本情况!K6="上海银行",IF(J55="",4,J55+1),"")</f>
        <v/>
      </c>
      <c r="K56" s="3839" t="str">
        <f>IF(项目基本情况!K6="上海银行","其他处置费用","")</f>
        <v/>
      </c>
      <c r="L56" s="3840"/>
      <c r="M56" s="1751" t="str">
        <f>IF(项目基本情况!K6="上海银行",M69,"")</f>
        <v/>
      </c>
      <c r="N56" s="3842" t="str">
        <f>IF(项目基本情况!K6="上海银行","包含处置中涉及的律师、诉讼、拍卖、评估等费用","")</f>
        <v/>
      </c>
      <c r="O56" s="3843"/>
    </row>
    <row r="57" spans="1:35" ht="12.75">
      <c r="A57" s="183" t="s">
        <v>2202</v>
      </c>
      <c r="B57" s="3781" t="s">
        <v>2230</v>
      </c>
      <c r="C57" s="3790"/>
      <c r="D57" s="187">
        <v>0</v>
      </c>
      <c r="E57" s="23" t="s">
        <v>2204</v>
      </c>
      <c r="F57" s="155"/>
      <c r="G57" s="2482"/>
      <c r="H57" s="2486"/>
      <c r="I57" s="2486"/>
      <c r="J57" s="3816">
        <f>IF(AND(J55="",J56=""),4,IF(项目基本情况!K6="上海银行",结果表!J56+1,结果表!J55+1))</f>
        <v>4</v>
      </c>
      <c r="K57" s="3816" t="s">
        <v>2231</v>
      </c>
      <c r="L57" s="2487" t="s">
        <v>2232</v>
      </c>
      <c r="M57" s="1756"/>
      <c r="N57" s="1757">
        <f ca="1">SUMIF(M52:M56,"&lt;9e307")</f>
        <v>123691</v>
      </c>
      <c r="O57" s="2488"/>
      <c r="P57" s="1750">
        <f ca="1">N57/M49</f>
        <v>0.56740552492270424</v>
      </c>
    </row>
    <row r="58" spans="1:35" ht="24.75">
      <c r="A58" s="183" t="s">
        <v>2213</v>
      </c>
      <c r="B58" s="3781" t="s">
        <v>2233</v>
      </c>
      <c r="C58" s="3782"/>
      <c r="D58" s="185">
        <f ca="1">IF(H58="转让取得",C81,C97)</f>
        <v>123582</v>
      </c>
      <c r="E58" s="11" t="s">
        <v>2228</v>
      </c>
      <c r="F58" s="24" t="s">
        <v>34</v>
      </c>
      <c r="G58" s="2482"/>
      <c r="H58" s="2485" t="s">
        <v>2234</v>
      </c>
      <c r="I58" s="2486"/>
      <c r="J58" s="3816"/>
      <c r="K58" s="3816"/>
      <c r="L58" s="2487" t="s">
        <v>2235</v>
      </c>
      <c r="M58" s="1758"/>
      <c r="N58" s="2489" t="str">
        <f ca="1">NUMBERSTRING(INT(N57*10000),2)&amp;"元整"</f>
        <v>壹拾贰亿叁仟陆佰玖拾壹万元整</v>
      </c>
      <c r="O58" s="2490"/>
    </row>
    <row r="59" spans="1:35" ht="24.75" thickBot="1">
      <c r="A59" s="3819" t="s">
        <v>2236</v>
      </c>
      <c r="B59" s="3820"/>
      <c r="C59" s="3820"/>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817">
        <f>J57+1</f>
        <v>5</v>
      </c>
      <c r="K59" s="3816" t="s">
        <v>2238</v>
      </c>
      <c r="L59" s="1809" t="s">
        <v>2232</v>
      </c>
      <c r="M59" s="1759"/>
      <c r="N59" s="1760">
        <f ca="1">M49-N57</f>
        <v>94303</v>
      </c>
      <c r="O59" s="2492"/>
    </row>
    <row r="60" spans="1:35" ht="12" customHeight="1">
      <c r="A60" s="2493"/>
      <c r="B60" s="2415"/>
      <c r="C60" s="2415"/>
      <c r="D60" s="2415"/>
      <c r="E60" s="2165"/>
      <c r="F60" s="2486"/>
      <c r="G60" s="2486"/>
      <c r="H60" s="2494"/>
      <c r="I60" s="138"/>
      <c r="J60" s="3818"/>
      <c r="K60" s="3816"/>
      <c r="L60" s="2487" t="s">
        <v>2235</v>
      </c>
      <c r="M60" s="1758"/>
      <c r="N60" s="2489" t="str">
        <f ca="1">NUMBERSTRING(INT(N59*10000),2)&amp;"元整"</f>
        <v>玖亿肆仟叁佰零叁万元整</v>
      </c>
      <c r="O60" s="2490"/>
    </row>
    <row r="61" spans="1:35" ht="13.5" thickBot="1">
      <c r="A61" s="3763" t="s">
        <v>2239</v>
      </c>
      <c r="B61" s="3763"/>
      <c r="C61" s="3763"/>
      <c r="D61" s="3763"/>
      <c r="E61" s="3763"/>
      <c r="F61" s="2486"/>
      <c r="G61" s="2486"/>
      <c r="H61" s="2494"/>
      <c r="I61" s="138"/>
      <c r="J61" s="1809">
        <f>J59+1</f>
        <v>6</v>
      </c>
      <c r="K61" s="3816" t="s">
        <v>2240</v>
      </c>
      <c r="L61" s="3816"/>
      <c r="M61" s="1761"/>
      <c r="N61" s="1762">
        <f ca="1">ROUND(N59*10000/'数据-汇总表'!E3,0)</f>
        <v>11810</v>
      </c>
      <c r="O61" s="2495"/>
    </row>
    <row r="62" spans="1:35" ht="12.75">
      <c r="A62" s="3779" t="s">
        <v>2241</v>
      </c>
      <c r="B62" s="3780"/>
      <c r="C62" s="1801"/>
      <c r="D62" s="1801" t="s">
        <v>2242</v>
      </c>
      <c r="E62" s="192" t="s">
        <v>2243</v>
      </c>
      <c r="F62" s="2486"/>
      <c r="G62" s="2486"/>
      <c r="H62" s="2494"/>
      <c r="I62" s="138"/>
    </row>
    <row r="63" spans="1:35" ht="12.75">
      <c r="A63" s="203" t="s">
        <v>775</v>
      </c>
      <c r="B63" s="193" t="s">
        <v>2244</v>
      </c>
      <c r="C63" s="194">
        <f ca="1">ROUND((C64+C65)/(1+'数据-取费表'!C42),0)</f>
        <v>207613</v>
      </c>
      <c r="D63" s="195"/>
      <c r="E63" s="196"/>
      <c r="F63" s="2486"/>
      <c r="G63" s="2486"/>
      <c r="H63" s="2494"/>
      <c r="I63" s="138"/>
      <c r="J63" s="3841" t="s">
        <v>2245</v>
      </c>
      <c r="K63" s="2496" t="s">
        <v>2246</v>
      </c>
      <c r="L63" s="1749">
        <f ca="1">IF(M49&gt;10000,M49*0.5%,IF(AND(M49&gt;1000,M49&lt;=10000),M49*1%,IF(AND(M49&gt;100,M49&lt;=1000),M49*3%,IF(AND(M49&gt;10,M49&lt;=100),M49*5%,M49*8%))))</f>
        <v>1089.97</v>
      </c>
      <c r="M63" s="24">
        <f ca="1">ROUND(L63,1)</f>
        <v>1090</v>
      </c>
      <c r="Z63" s="2420"/>
      <c r="AI63" s="2421"/>
    </row>
    <row r="64" spans="1:35" ht="14.25" customHeight="1">
      <c r="A64" s="197" t="s">
        <v>770</v>
      </c>
      <c r="B64" s="198" t="s">
        <v>2247</v>
      </c>
      <c r="C64" s="199">
        <f ca="1">D45</f>
        <v>217994</v>
      </c>
      <c r="D64" s="200" t="s">
        <v>32</v>
      </c>
      <c r="E64" s="201"/>
      <c r="F64" s="2486"/>
      <c r="G64" s="2486"/>
      <c r="H64" s="2494"/>
      <c r="I64" s="138"/>
      <c r="J64" s="3841"/>
      <c r="K64" s="2496" t="s">
        <v>2248</v>
      </c>
      <c r="L64" s="1749">
        <f ca="1">IF(M49&gt;2000,M49*0.5%,IF(AND(M49&gt;1000,M49&lt;=2000),M49*0.6%,IF(AND(M49&gt;500,M49&lt;=1000),M49*0.7%,IF(AND(M49&gt;200,M49&lt;=500),M49*0.8%,IF(AND(M49&gt;100,M49&lt;=200),M49*0.9%,IF(AND(M49&gt;50,M49&lt;=100),M49*1%,IF(AND(M49&gt;20,M49&lt;=50),M49*1.5%,IF(AND(M49&gt;10,M49&lt;=20),M49*2%,IF(AND(M49&gt;1,M49&lt;=10),M49*2.5%)))))))))</f>
        <v>1089.97</v>
      </c>
      <c r="M64" s="24">
        <f t="shared" ref="M64:M65" ca="1" si="1">ROUND(L64,1)</f>
        <v>1090</v>
      </c>
      <c r="N64" s="138" t="s">
        <v>2249</v>
      </c>
      <c r="Z64" s="2420"/>
      <c r="AI64" s="2421"/>
    </row>
    <row r="65" spans="1:35" ht="14.25" customHeight="1">
      <c r="A65" s="197" t="s">
        <v>771</v>
      </c>
      <c r="B65" s="198" t="s">
        <v>2250</v>
      </c>
      <c r="C65" s="202"/>
      <c r="D65" s="200"/>
      <c r="E65" s="201"/>
      <c r="F65" s="2486"/>
      <c r="G65" s="2486"/>
      <c r="H65" s="2494"/>
      <c r="I65" s="138"/>
      <c r="J65" s="3841"/>
      <c r="K65" s="2496" t="s">
        <v>2251</v>
      </c>
      <c r="L65" s="1749">
        <f ca="1">IF(M49&gt;1000,M49*0.1%,IF(AND(M49&gt;500,M49&lt;=1000),M49*0.5%,IF(AND(M49&gt;50,M49&lt;=500),M49*1%,IF(AND(M49&gt;1,M49&lt;=50),M49*1.5%))))</f>
        <v>217.994</v>
      </c>
      <c r="M65" s="24">
        <f t="shared" ca="1" si="1"/>
        <v>218</v>
      </c>
      <c r="N65" s="138" t="s">
        <v>2249</v>
      </c>
      <c r="Z65" s="2420"/>
      <c r="AI65" s="2421"/>
    </row>
    <row r="66" spans="1:35" ht="14.25" customHeight="1">
      <c r="A66" s="203" t="s">
        <v>772</v>
      </c>
      <c r="B66" s="204" t="s">
        <v>2252</v>
      </c>
      <c r="C66" s="205"/>
      <c r="D66" s="206" t="s">
        <v>32</v>
      </c>
      <c r="E66" s="1773" t="s">
        <v>1372</v>
      </c>
      <c r="F66" s="2486"/>
      <c r="G66" s="2486"/>
      <c r="H66" s="2494"/>
      <c r="I66" s="138"/>
      <c r="J66" s="3841"/>
      <c r="K66" s="2496" t="s">
        <v>2253</v>
      </c>
      <c r="L66" s="1749">
        <f ca="1">M49*0.5%</f>
        <v>1089.97</v>
      </c>
      <c r="M66" s="24">
        <f ca="1">IF(L66&gt;0.5,0.5,ROUND(L66,0))</f>
        <v>0.5</v>
      </c>
      <c r="N66" s="138" t="s">
        <v>2254</v>
      </c>
      <c r="Z66" s="2420"/>
      <c r="AI66" s="2421"/>
    </row>
    <row r="67" spans="1:35" ht="14.25" customHeight="1">
      <c r="A67" s="203" t="s">
        <v>773</v>
      </c>
      <c r="B67" s="204" t="s">
        <v>2255</v>
      </c>
      <c r="C67" s="207">
        <f ca="1">C63-C66</f>
        <v>207613</v>
      </c>
      <c r="D67" s="200" t="s">
        <v>32</v>
      </c>
      <c r="E67" s="201"/>
      <c r="F67" s="2486"/>
      <c r="G67" s="2486"/>
      <c r="H67" s="2494"/>
      <c r="I67" s="138"/>
      <c r="J67" s="3841"/>
      <c r="K67" s="2496" t="s">
        <v>2256</v>
      </c>
      <c r="L67" s="1749">
        <f ca="1">IF(M49&gt;=10000,(8.25+(M49-10000)*0.01%),IF(AND(M49&gt;=8000,M49&lt;10000),(7.85+(M49-8000)*0.02%),IF(AND(M49&gt;=5000,M49&lt;8000),(6.65+(M49-5000)*0.04%),IF(AND(M49&gt;=2000,M49&lt;5000),(4.25+(PM49-2000)*0.08%),IF(AND(M49&gt;=1000,M49&lt;2000),(2.75+(M49-1000)*0.15%),IF(AND(M49&gt;=100,M49&lt;1000),(0.5+(M49-100)*0.25%),IF(AND(M49&gt;0,M49&lt;100),M49*0.5%)))))))</f>
        <v>29.049400000000002</v>
      </c>
      <c r="M67" s="24">
        <f ca="1">ROUND(L67*0.9,1)</f>
        <v>26.1</v>
      </c>
      <c r="Z67" s="2420"/>
      <c r="AI67" s="2421"/>
    </row>
    <row r="68" spans="1:35" ht="14.25" customHeight="1" thickBot="1">
      <c r="A68" s="208" t="s">
        <v>774</v>
      </c>
      <c r="B68" s="209" t="s">
        <v>2257</v>
      </c>
      <c r="C68" s="210">
        <f ca="1">IF(C67&lt;=0,0,ROUND(C67*D68,0))</f>
        <v>11419</v>
      </c>
      <c r="D68" s="211">
        <f>'数据-取费表'!B41</f>
        <v>5.5000000000000007E-2</v>
      </c>
      <c r="E68" s="212"/>
      <c r="F68" s="2486"/>
      <c r="G68" s="2486"/>
      <c r="H68" s="2494"/>
      <c r="I68" s="138"/>
      <c r="J68" s="3841"/>
      <c r="K68" s="2496" t="s">
        <v>2258</v>
      </c>
      <c r="L68" s="1749">
        <f ca="1">IF(M49&gt;10000,M49*0.5%,IF(AND(M49&gt;5000,M49&lt;=10000),M49*1%,IF(AND(M49&gt;1000,M49&lt;=5000),M49*2%,IF(AND(M49&gt;200,M49&lt;=1000),M49*3%,M49*5%))))</f>
        <v>1089.97</v>
      </c>
      <c r="M68" s="24">
        <f ca="1">ROUND(L68,1)</f>
        <v>1090</v>
      </c>
      <c r="Z68" s="2420"/>
      <c r="AI68" s="2421"/>
    </row>
    <row r="69" spans="1:35" s="2443" customFormat="1" ht="16.5" customHeight="1">
      <c r="A69" s="2497"/>
      <c r="B69" s="2498"/>
      <c r="C69" s="2499"/>
      <c r="D69" s="2500"/>
      <c r="E69" s="2501"/>
      <c r="F69" s="2165"/>
      <c r="G69" s="2165"/>
      <c r="H69" s="2164"/>
      <c r="I69" s="2415"/>
      <c r="J69" s="3841"/>
      <c r="K69" s="2496" t="s">
        <v>2259</v>
      </c>
      <c r="L69" s="2502"/>
      <c r="M69" s="24">
        <f ca="1">ROUND(SUM(M63:M68),0)</f>
        <v>3515</v>
      </c>
      <c r="N69" s="1750">
        <f ca="1">M69/M49</f>
        <v>1.6124296998999973E-2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800" t="s">
        <v>2260</v>
      </c>
      <c r="B70" s="3801"/>
      <c r="C70" s="3801"/>
      <c r="D70" s="3801"/>
      <c r="E70" s="3801"/>
      <c r="F70" s="3801"/>
      <c r="G70" s="3801"/>
      <c r="H70" s="380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779" t="s">
        <v>2241</v>
      </c>
      <c r="B71" s="3780"/>
      <c r="C71" s="1801"/>
      <c r="D71" s="1801"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f ca="1">ROUND(D45/(1+'数据-取费表'!C42),0)</f>
        <v>207613</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f ca="1">C74+C78</f>
        <v>1038</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774" t="s">
        <v>2269</v>
      </c>
      <c r="F76" s="3751"/>
      <c r="G76" s="3751"/>
      <c r="H76" s="379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f ca="1">ROUND(D45*D78/(1+'数据-取费表'!C42),0)</f>
        <v>1038</v>
      </c>
      <c r="D78" s="226">
        <f>'数据-取费表'!B43</f>
        <v>5.000000000000001E-3</v>
      </c>
      <c r="E78" s="3760" t="s">
        <v>2274</v>
      </c>
      <c r="F78" s="3761"/>
      <c r="G78" s="3761"/>
      <c r="H78" s="377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f ca="1">C72-C73</f>
        <v>206575</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f ca="1">IF(C79&lt;=0,0,C79/C73)</f>
        <v>199.01252408477842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f ca="1">ROUND(IF(C79&lt;=0,0,IF(C80&gt;=200%,C79*60%-C73*35%,IF(C80&gt;=100%,C79*50%-C73*15%,IF(C80&gt;=50%,C79*40%-C73*5%,IF(C80&lt;50%,C79*30%,0))))),0)</f>
        <v>123582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800" t="s">
        <v>2278</v>
      </c>
      <c r="B83" s="3801"/>
      <c r="C83" s="3801"/>
      <c r="D83" s="3801"/>
      <c r="E83" s="3801"/>
      <c r="F83" s="3801"/>
      <c r="G83" s="3801"/>
      <c r="H83" s="380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779" t="s">
        <v>2241</v>
      </c>
      <c r="B84" s="3780"/>
      <c r="C84" s="1801"/>
      <c r="D84" s="1801"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f ca="1">ROUND(D45/(1+'数据-取费表'!C42),0)</f>
        <v>207613</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f ca="1">IF(H88="仅含出让金",C87+C90+C91+C92+C93+C94,C87+C91+C92+C93+C94)</f>
        <v>1038</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7"/>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760" t="s">
        <v>2287</v>
      </c>
      <c r="F91" s="3761"/>
      <c r="G91" s="3761"/>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760" t="s">
        <v>2291</v>
      </c>
      <c r="F92" s="3761"/>
      <c r="G92" s="3761"/>
      <c r="H92" s="377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f ca="1">ROUND(D45*D93/(1+'数据-取费表'!C42),0)</f>
        <v>1038</v>
      </c>
      <c r="D93" s="226">
        <f>'数据-取费表'!B43</f>
        <v>5.000000000000001E-3</v>
      </c>
      <c r="E93" s="3760" t="s">
        <v>2274</v>
      </c>
      <c r="F93" s="3761"/>
      <c r="G93" s="3761"/>
      <c r="H93" s="377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771" t="s">
        <v>2295</v>
      </c>
      <c r="F94" s="3772"/>
      <c r="G94" s="3772"/>
      <c r="H94" s="377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f ca="1">ROUND(C85-C86,0)</f>
        <v>206575</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f ca="1">IF(C95&lt;=0,0,C95/C86)</f>
        <v>199.01252408477842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f ca="1">ROUND(IF(C95&lt;=0,0,IF(C96&gt;=200%,C95*60%-C86*35%,IF(C96&gt;=100%,C95*50%-C86*15%,IF(C96&gt;=50%,C95*40%-C86*5%,IF(C96&lt;50%,C95*30%,0))))),0)</f>
        <v>123582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2296</v>
      </c>
      <c r="B99" s="2415"/>
      <c r="C99" s="2415"/>
      <c r="D99" s="2415"/>
      <c r="E99" s="2165"/>
      <c r="F99" s="2165"/>
      <c r="G99" s="2165"/>
      <c r="H99" s="2164"/>
      <c r="I99" s="138"/>
    </row>
    <row r="100" spans="1:35" ht="18.75" customHeight="1">
      <c r="A100" s="3745" t="s">
        <v>2297</v>
      </c>
      <c r="B100" s="3746"/>
      <c r="C100" s="3746"/>
      <c r="D100" s="3762"/>
      <c r="E100" s="3746" t="s">
        <v>2298</v>
      </c>
      <c r="F100" s="3746"/>
      <c r="G100" s="3746"/>
      <c r="H100" s="3762"/>
      <c r="I100" s="138"/>
    </row>
    <row r="101" spans="1:35" ht="18.75" customHeight="1">
      <c r="A101" s="3824" t="s">
        <v>2299</v>
      </c>
      <c r="B101" s="3825"/>
      <c r="C101" s="736" t="str">
        <f>C4</f>
        <v>成本法</v>
      </c>
      <c r="D101" s="737" t="str">
        <f>D4</f>
        <v>假设开发法</v>
      </c>
      <c r="E101" s="3838" t="s">
        <v>2300</v>
      </c>
      <c r="F101" s="3792"/>
      <c r="G101" s="2517" t="s">
        <v>2301</v>
      </c>
      <c r="H101" s="1044">
        <f ca="1">H118</f>
        <v>217994</v>
      </c>
      <c r="I101" s="138"/>
    </row>
    <row r="102" spans="1:35" ht="18.75" customHeight="1">
      <c r="A102" s="3794" t="s">
        <v>2302</v>
      </c>
      <c r="B102" s="2517" t="s">
        <v>2301</v>
      </c>
      <c r="C102" s="736">
        <f ca="1">C19</f>
        <v>166200</v>
      </c>
      <c r="D102" s="737">
        <f ca="1">D19</f>
        <v>260370</v>
      </c>
      <c r="E102" s="3838"/>
      <c r="F102" s="3792"/>
      <c r="G102" s="2517" t="s">
        <v>2303</v>
      </c>
      <c r="H102" s="371">
        <f ca="1">I118</f>
        <v>27301</v>
      </c>
      <c r="I102" s="138"/>
    </row>
    <row r="103" spans="1:35" ht="42.75" customHeight="1">
      <c r="A103" s="3794"/>
      <c r="B103" s="2517" t="s">
        <v>2303</v>
      </c>
      <c r="C103" s="738">
        <f ca="1">C20</f>
        <v>20815</v>
      </c>
      <c r="D103" s="739">
        <f ca="1">D20</f>
        <v>32609</v>
      </c>
      <c r="E103" s="3833" t="s">
        <v>2304</v>
      </c>
      <c r="F103" s="3834"/>
      <c r="G103" s="2518" t="s">
        <v>2305</v>
      </c>
      <c r="H103" s="1044">
        <f>IF(D36="正常操作",H104+H105+H106,H105+H106)</f>
        <v>0</v>
      </c>
      <c r="I103" s="138"/>
    </row>
    <row r="104" spans="1:35" ht="18.75" customHeight="1">
      <c r="A104" s="3794" t="s">
        <v>2306</v>
      </c>
      <c r="B104" s="2519" t="s">
        <v>2301</v>
      </c>
      <c r="C104" s="740">
        <f ca="1">H118</f>
        <v>217994</v>
      </c>
      <c r="D104" s="741"/>
      <c r="E104" s="2264" t="s">
        <v>2307</v>
      </c>
      <c r="F104" s="2256"/>
      <c r="G104" s="2518" t="s">
        <v>2305</v>
      </c>
      <c r="H104" s="1045">
        <f>IF(D36="同一抵押权人同一抵押物续贷",C36&amp;"（未扣减，详见特别提示）",C36)</f>
        <v>0</v>
      </c>
      <c r="I104" s="138"/>
    </row>
    <row r="105" spans="1:35" ht="18.75" customHeight="1" thickBot="1">
      <c r="A105" s="3795"/>
      <c r="B105" s="2520" t="s">
        <v>2303</v>
      </c>
      <c r="C105" s="742">
        <f ca="1">I118</f>
        <v>27301</v>
      </c>
      <c r="D105" s="743"/>
      <c r="E105" s="2264" t="s">
        <v>2308</v>
      </c>
      <c r="F105" s="2256"/>
      <c r="G105" s="2518" t="s">
        <v>2305</v>
      </c>
      <c r="H105" s="1045">
        <f>C37</f>
        <v>0</v>
      </c>
      <c r="I105" s="138"/>
    </row>
    <row r="106" spans="1:35" ht="18.75" customHeight="1">
      <c r="A106" s="2415" t="s">
        <v>2309</v>
      </c>
      <c r="B106" s="2415"/>
      <c r="C106" s="2415"/>
      <c r="D106" s="2415"/>
      <c r="E106" s="2521" t="s">
        <v>2310</v>
      </c>
      <c r="F106" s="2256"/>
      <c r="G106" s="2518" t="s">
        <v>2305</v>
      </c>
      <c r="H106" s="1045">
        <f>C38</f>
        <v>0</v>
      </c>
      <c r="I106" s="138"/>
    </row>
    <row r="107" spans="1:35" ht="18.75" customHeight="1">
      <c r="A107" s="138"/>
      <c r="B107" s="138"/>
      <c r="C107" s="138"/>
      <c r="D107" s="138"/>
      <c r="E107" s="3791" t="str">
        <f>IF(项目基本情况!E8="已注销","——","3.房地产抵押价值")</f>
        <v>3.房地产抵押价值</v>
      </c>
      <c r="F107" s="3792"/>
      <c r="G107" s="2517" t="s">
        <v>2301</v>
      </c>
      <c r="H107" s="1044">
        <f ca="1">IF(E107="——","——",H101-H103)</f>
        <v>217994</v>
      </c>
      <c r="I107" s="138"/>
    </row>
    <row r="108" spans="1:35" ht="18.75" customHeight="1">
      <c r="A108" s="138"/>
      <c r="B108" s="138"/>
      <c r="C108" s="138"/>
      <c r="D108" s="138"/>
      <c r="E108" s="3791"/>
      <c r="F108" s="3792"/>
      <c r="G108" s="2517" t="s">
        <v>2303</v>
      </c>
      <c r="H108" s="371">
        <f ca="1">ROUND(H107*10000/'数据-汇总表'!E3,0)</f>
        <v>27301</v>
      </c>
      <c r="I108" s="138"/>
    </row>
    <row r="109" spans="1:35" ht="18.75" customHeight="1">
      <c r="A109" s="138"/>
      <c r="B109" s="138"/>
      <c r="C109" s="138"/>
      <c r="D109" s="138"/>
      <c r="E109" s="3791" t="str">
        <f>IF(项目基本情况!E8="已注销及未注销","4.抵押担保权已注销时的房地产抵押价值",IF(项目基本情况!E8="已注销","3.抵押担保权已注销时的房地产抵押价值","——"))</f>
        <v>——</v>
      </c>
      <c r="F109" s="3792"/>
      <c r="G109" s="2517" t="s">
        <v>2301</v>
      </c>
      <c r="H109" s="348" t="str">
        <f>IF(E109="——","——",H101-H105-H106)</f>
        <v>——</v>
      </c>
      <c r="I109" s="138"/>
    </row>
    <row r="110" spans="1:35" ht="18.75" customHeight="1">
      <c r="A110" s="138"/>
      <c r="B110" s="138"/>
      <c r="C110" s="138"/>
      <c r="D110" s="138"/>
      <c r="E110" s="3791"/>
      <c r="F110" s="3792"/>
      <c r="G110" s="2517" t="s">
        <v>2303</v>
      </c>
      <c r="H110" s="371" t="str">
        <f>IF(H109="——","——",ROUND(H109*10000/'数据-汇总表'!E3,0))</f>
        <v>——</v>
      </c>
      <c r="I110" s="138"/>
    </row>
    <row r="111" spans="1:35" ht="18.75" customHeight="1">
      <c r="A111" s="138"/>
      <c r="B111" s="138"/>
      <c r="C111" s="138"/>
      <c r="D111" s="138"/>
      <c r="E111" s="3826" t="str">
        <f>IF(项目基本情况!E9="抵押净值",IF(OR(项目基本情况!E8="已注销",项目基本情况!E8="房地产抵押价值"),"4.抵押净值","5.抵押净值"),"——")</f>
        <v>——</v>
      </c>
      <c r="F111" s="3827"/>
      <c r="G111" s="2517" t="s">
        <v>2301</v>
      </c>
      <c r="H111" s="1044" t="str">
        <f>IF(E111="——","——",N59)</f>
        <v>——</v>
      </c>
      <c r="I111" s="138"/>
    </row>
    <row r="112" spans="1:35" ht="18.75" customHeight="1" thickBot="1">
      <c r="A112" s="138"/>
      <c r="B112" s="138"/>
      <c r="C112" s="138"/>
      <c r="D112" s="138"/>
      <c r="E112" s="3828"/>
      <c r="F112" s="3829"/>
      <c r="G112" s="2522" t="s">
        <v>2303</v>
      </c>
      <c r="H112" s="790" t="str">
        <f>IF(E111="——","——",N61)</f>
        <v>——</v>
      </c>
      <c r="I112" s="138"/>
    </row>
    <row r="113" spans="1:11" ht="18.75" customHeight="1">
      <c r="A113" s="138"/>
      <c r="B113" s="138"/>
      <c r="C113" s="138"/>
      <c r="D113" s="138"/>
      <c r="E113" s="3796" t="s">
        <v>2309</v>
      </c>
      <c r="F113" s="3796"/>
      <c r="G113" s="3796"/>
      <c r="H113" s="3796"/>
      <c r="I113" s="138"/>
    </row>
    <row r="114" spans="1:11" ht="3.75" customHeight="1">
      <c r="A114" s="2415"/>
      <c r="B114" s="2415"/>
      <c r="C114" s="2415"/>
      <c r="D114" s="2415"/>
      <c r="E114" s="2493"/>
      <c r="F114" s="2493"/>
      <c r="G114" s="2493"/>
      <c r="H114" s="2493"/>
      <c r="I114" s="2415"/>
    </row>
    <row r="115" spans="1:11" ht="18.75" customHeight="1">
      <c r="A115" s="3809" t="s">
        <v>2311</v>
      </c>
      <c r="B115" s="3810"/>
      <c r="C115" s="3810"/>
      <c r="D115" s="3810"/>
      <c r="E115" s="3810"/>
      <c r="F115" s="3810"/>
      <c r="G115" s="3810"/>
      <c r="H115" s="3810"/>
      <c r="I115" s="3811"/>
    </row>
    <row r="116" spans="1:11" ht="27" customHeight="1">
      <c r="A116" s="3702" t="s">
        <v>2312</v>
      </c>
      <c r="B116" s="3797" t="s">
        <v>2313</v>
      </c>
      <c r="C116" s="3797" t="s">
        <v>2314</v>
      </c>
      <c r="D116" s="3813" t="s">
        <v>2315</v>
      </c>
      <c r="E116" s="3814"/>
      <c r="F116" s="3805" t="s">
        <v>2316</v>
      </c>
      <c r="G116" s="3805"/>
      <c r="H116" s="3702" t="s">
        <v>2317</v>
      </c>
      <c r="I116" s="3702"/>
    </row>
    <row r="117" spans="1:11" ht="18.75" customHeight="1">
      <c r="A117" s="3702"/>
      <c r="B117" s="3798"/>
      <c r="C117" s="3798"/>
      <c r="D117" s="1795" t="s">
        <v>2318</v>
      </c>
      <c r="E117" s="1795" t="s">
        <v>2319</v>
      </c>
      <c r="F117" s="1795" t="s">
        <v>2318</v>
      </c>
      <c r="G117" s="1795" t="s">
        <v>2320</v>
      </c>
      <c r="H117" s="1795" t="s">
        <v>2318</v>
      </c>
      <c r="I117" s="1795" t="s">
        <v>2320</v>
      </c>
    </row>
    <row r="118" spans="1:11" ht="24.75" customHeight="1">
      <c r="A118" s="2523" t="str">
        <f>项目基本情况!S2</f>
        <v>出让国有建设用地使用权及在建建筑物房地产</v>
      </c>
      <c r="B118" s="1795">
        <f>M18</f>
        <v>79847.06</v>
      </c>
      <c r="C118" s="1795">
        <f>M19</f>
        <v>15080.97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217994</v>
      </c>
      <c r="I118" s="1795">
        <f ca="1">ROUND(IF(D32="楼面单价",C32,H118*10000/B118),0)</f>
        <v>27301</v>
      </c>
    </row>
    <row r="119" spans="1:11" ht="18.75" customHeight="1">
      <c r="A119" s="3702" t="s">
        <v>2321</v>
      </c>
      <c r="B119" s="3702"/>
      <c r="C119" s="3702"/>
      <c r="D119" s="3802" t="e">
        <f ca="1">NUMBERSTRING(INT(D118*10000),2)&amp;"元整"</f>
        <v>#REF!</v>
      </c>
      <c r="E119" s="3804"/>
      <c r="F119" s="3802" t="e">
        <f ca="1">NUMBERSTRING(INT(F118*10000),2)&amp;"元整"</f>
        <v>#REF!</v>
      </c>
      <c r="G119" s="3804"/>
      <c r="H119" s="3802" t="str">
        <f ca="1">NUMBERSTRING(INT(H118*10000),2)&amp;"元整"</f>
        <v>贰拾壹亿柒仟玖佰玖拾肆万元整</v>
      </c>
      <c r="I119" s="3804"/>
    </row>
    <row r="120" spans="1:11" ht="18.75" customHeight="1">
      <c r="A120" s="3830" t="str">
        <f>IF(项目基本情况!B9="房地产市场价值","",MID(E103,3,LEN(E103)-2))</f>
        <v>估价师知悉的法定优先受偿款</v>
      </c>
      <c r="B120" s="3831"/>
      <c r="C120" s="3832"/>
      <c r="D120" s="3830">
        <f>H103</f>
        <v>0</v>
      </c>
      <c r="E120" s="3831"/>
      <c r="F120" s="3831"/>
      <c r="G120" s="3831"/>
      <c r="H120" s="3831"/>
      <c r="I120" s="3832"/>
      <c r="K120" s="2420" t="str">
        <f>IF(D120=0,"故，本次评估不存在"&amp;A120,"故，本次评估"&amp;A120&amp;"为人民币"&amp;D120&amp;"万元整。")</f>
        <v>故，本次评估不存在估价师知悉的法定优先受偿款</v>
      </c>
    </row>
    <row r="121" spans="1:11" ht="18.75" customHeight="1">
      <c r="A121" s="3806" t="s">
        <v>2321</v>
      </c>
      <c r="B121" s="3807"/>
      <c r="C121" s="3808"/>
      <c r="D121" s="3802" t="str">
        <f>IF(D120=0,"零元整",NUMBERSTRING(INT(D120*10000),2)&amp;"元整")</f>
        <v>零元整</v>
      </c>
      <c r="E121" s="3803"/>
      <c r="F121" s="3803"/>
      <c r="G121" s="3803"/>
      <c r="H121" s="3803"/>
      <c r="I121" s="3804"/>
    </row>
    <row r="122" spans="1:11" ht="18.75" customHeight="1">
      <c r="A122" s="3793" t="str">
        <f>IF(项目基本情况!B9="房地产市场价值","",MID(E107,3,LEN(E107)-2))</f>
        <v>房地产抵押价值</v>
      </c>
      <c r="B122" s="3793"/>
      <c r="C122" s="3793"/>
      <c r="D122" s="3830">
        <f ca="1">H107</f>
        <v>217994</v>
      </c>
      <c r="E122" s="3831"/>
      <c r="F122" s="3831"/>
      <c r="G122" s="3831"/>
      <c r="H122" s="3831"/>
      <c r="I122" s="3832"/>
    </row>
    <row r="123" spans="1:11" ht="18.75" customHeight="1">
      <c r="A123" s="3702" t="s">
        <v>2321</v>
      </c>
      <c r="B123" s="3702"/>
      <c r="C123" s="3702"/>
      <c r="D123" s="3802" t="str">
        <f ca="1">NUMBERSTRING(INT(D122*10000),2)&amp;"元整"</f>
        <v>贰拾壹亿柒仟玖佰玖拾肆万元整</v>
      </c>
      <c r="E123" s="3803"/>
      <c r="F123" s="3803"/>
      <c r="G123" s="3803"/>
      <c r="H123" s="3803"/>
      <c r="I123" s="3804"/>
    </row>
    <row r="124" spans="1:11" ht="18.75" customHeight="1">
      <c r="A124" s="3793" t="str">
        <f>IF(项目基本情况!B9="房地产市场价值","",MID(E109,3,LEN(E109)-2))</f>
        <v/>
      </c>
      <c r="B124" s="3793"/>
      <c r="C124" s="3793"/>
      <c r="D124" s="3830" t="str">
        <f>H109</f>
        <v>——</v>
      </c>
      <c r="E124" s="3831"/>
      <c r="F124" s="3831"/>
      <c r="G124" s="3831"/>
      <c r="H124" s="3831"/>
      <c r="I124" s="3832"/>
    </row>
    <row r="125" spans="1:11" ht="18.75" customHeight="1">
      <c r="A125" s="3702" t="s">
        <v>2321</v>
      </c>
      <c r="B125" s="3702"/>
      <c r="C125" s="3702"/>
      <c r="D125" s="3802" t="e">
        <f>NUMBERSTRING(INT(D124*10000),2)&amp;"元整"</f>
        <v>#VALUE!</v>
      </c>
      <c r="E125" s="3803"/>
      <c r="F125" s="3803"/>
      <c r="G125" s="3803"/>
      <c r="H125" s="3803"/>
      <c r="I125" s="3804"/>
    </row>
    <row r="126" spans="1:11" ht="18.75" customHeight="1">
      <c r="A126" s="3793" t="str">
        <f>IF(项目基本情况!B9="房地产市场价值","",MID(E111,3,LEN(E111)-2))</f>
        <v/>
      </c>
      <c r="B126" s="3793"/>
      <c r="C126" s="3793"/>
      <c r="D126" s="3830" t="str">
        <f>H111</f>
        <v>——</v>
      </c>
      <c r="E126" s="3831"/>
      <c r="F126" s="3831"/>
      <c r="G126" s="3831"/>
      <c r="H126" s="3831"/>
      <c r="I126" s="3832"/>
    </row>
    <row r="127" spans="1:11" ht="18.75" customHeight="1">
      <c r="A127" s="3702" t="s">
        <v>2321</v>
      </c>
      <c r="B127" s="3702"/>
      <c r="C127" s="3702"/>
      <c r="D127" s="3802" t="e">
        <f>NUMBERSTRING(INT(D126*10000),2)&amp;"元整"</f>
        <v>#VALUE!</v>
      </c>
      <c r="E127" s="3803"/>
      <c r="F127" s="3803"/>
      <c r="G127" s="3803"/>
      <c r="H127" s="3803"/>
      <c r="I127" s="3804"/>
    </row>
    <row r="128" spans="1:11" ht="21.75" customHeight="1">
      <c r="A128" s="3812" t="s">
        <v>2322</v>
      </c>
      <c r="B128" s="3812"/>
      <c r="C128" s="3812"/>
      <c r="D128" s="3812"/>
      <c r="E128" s="3812"/>
      <c r="F128" s="3812"/>
      <c r="G128" s="3812"/>
      <c r="H128" s="3812"/>
      <c r="I128" s="3812"/>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2" t="s">
        <v>2537</v>
      </c>
      <c r="D4" s="3863"/>
      <c r="E4" s="3864" t="s">
        <v>2538</v>
      </c>
      <c r="F4" s="3865"/>
      <c r="G4" s="3862" t="s">
        <v>2539</v>
      </c>
      <c r="H4" s="3863"/>
      <c r="I4" s="3862" t="s">
        <v>2540</v>
      </c>
      <c r="J4" s="3863"/>
      <c r="K4" s="2595" t="s">
        <v>2541</v>
      </c>
      <c r="L4" s="1129"/>
      <c r="M4" s="1130"/>
      <c r="N4" s="1130"/>
      <c r="O4" s="1130"/>
      <c r="P4" s="3866" t="s">
        <v>2542</v>
      </c>
      <c r="Q4" s="3867"/>
      <c r="R4" s="3872" t="s">
        <v>2538</v>
      </c>
      <c r="S4" s="3873"/>
      <c r="T4" s="3872" t="s">
        <v>2539</v>
      </c>
      <c r="U4" s="3873"/>
      <c r="V4" s="3878" t="s">
        <v>2540</v>
      </c>
      <c r="W4" s="3878"/>
      <c r="X4" s="1813"/>
      <c r="Y4" s="3872" t="s">
        <v>2542</v>
      </c>
      <c r="Z4" s="3873"/>
      <c r="AA4" s="3859" t="s">
        <v>2538</v>
      </c>
      <c r="AB4" s="3859" t="s">
        <v>2539</v>
      </c>
      <c r="AC4" s="3859" t="s">
        <v>2540</v>
      </c>
    </row>
    <row r="5" spans="1:29" ht="15">
      <c r="A5" s="404"/>
      <c r="B5" s="405"/>
      <c r="C5" s="3881" t="s">
        <v>2543</v>
      </c>
      <c r="D5" s="3882"/>
      <c r="E5" s="3888" t="s">
        <v>2544</v>
      </c>
      <c r="F5" s="3889"/>
      <c r="G5" s="3881" t="s">
        <v>2545</v>
      </c>
      <c r="H5" s="3882"/>
      <c r="I5" s="3881" t="s">
        <v>2546</v>
      </c>
      <c r="J5" s="3882"/>
      <c r="K5" s="2596"/>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2596"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83" t="s">
        <v>2550</v>
      </c>
      <c r="Q7" s="3885"/>
      <c r="R7" s="770" t="s">
        <v>23</v>
      </c>
      <c r="S7" s="771">
        <f t="shared" ref="S7:S15" si="0">F7</f>
        <v>0</v>
      </c>
      <c r="T7" s="770" t="s">
        <v>23</v>
      </c>
      <c r="U7" s="771">
        <f t="shared" ref="U7:U15" si="1">H7</f>
        <v>0</v>
      </c>
      <c r="V7" s="770" t="s">
        <v>23</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2598" t="s">
        <v>3050</v>
      </c>
      <c r="F8" s="413">
        <f>SUMIF(61:61,E8,62:62)-SUMIF(61:61,C8,62:62)+100</f>
        <v>100</v>
      </c>
      <c r="G8" s="414" t="s">
        <v>3050</v>
      </c>
      <c r="H8" s="411">
        <f>SUMIF(61:61,G8,62:62)-SUMIF(61:61,C8,62:62)+100</f>
        <v>100</v>
      </c>
      <c r="I8" s="2598" t="s">
        <v>3050</v>
      </c>
      <c r="J8" s="411">
        <f>SUMIF(61:61,I8,62:62)-SUMIF(61:61,C8,62:62)+100</f>
        <v>100</v>
      </c>
      <c r="K8" s="2597"/>
      <c r="L8" s="1131"/>
      <c r="M8" s="1132"/>
      <c r="N8" s="1132"/>
      <c r="O8" s="1132"/>
      <c r="P8" s="3883" t="s">
        <v>2553</v>
      </c>
      <c r="Q8" s="3884"/>
      <c r="R8" s="770" t="s">
        <v>23</v>
      </c>
      <c r="S8" s="771">
        <f t="shared" si="0"/>
        <v>100</v>
      </c>
      <c r="T8" s="770" t="s">
        <v>23</v>
      </c>
      <c r="U8" s="771">
        <f t="shared" si="1"/>
        <v>100</v>
      </c>
      <c r="V8" s="770" t="s">
        <v>23</v>
      </c>
      <c r="W8" s="771">
        <f t="shared" si="2"/>
        <v>100</v>
      </c>
      <c r="X8" s="772"/>
      <c r="Y8" s="3883" t="s">
        <v>2553</v>
      </c>
      <c r="Z8" s="3884"/>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858"/>
      <c r="Q11" s="1795" t="str">
        <f t="shared" si="6"/>
        <v>容积率</v>
      </c>
      <c r="R11" s="770" t="s">
        <v>21</v>
      </c>
      <c r="S11" s="771">
        <f t="shared" si="0"/>
        <v>100</v>
      </c>
      <c r="T11" s="770" t="s">
        <v>21</v>
      </c>
      <c r="U11" s="771">
        <f t="shared" si="1"/>
        <v>100</v>
      </c>
      <c r="V11" s="770" t="s">
        <v>21</v>
      </c>
      <c r="W11" s="771">
        <f t="shared" si="2"/>
        <v>100</v>
      </c>
      <c r="X11" s="772"/>
      <c r="Y11" s="3702"/>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58"/>
      <c r="Q12" s="1795">
        <f t="shared" si="6"/>
        <v>111</v>
      </c>
      <c r="R12" s="770" t="s">
        <v>21</v>
      </c>
      <c r="S12" s="771">
        <f t="shared" si="0"/>
        <v>100</v>
      </c>
      <c r="T12" s="770" t="s">
        <v>21</v>
      </c>
      <c r="U12" s="771">
        <f t="shared" si="1"/>
        <v>100</v>
      </c>
      <c r="V12" s="770" t="s">
        <v>21</v>
      </c>
      <c r="W12" s="771">
        <f t="shared" si="2"/>
        <v>100</v>
      </c>
      <c r="X12" s="772"/>
      <c r="Y12" s="370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58"/>
      <c r="Q13" s="1795">
        <f t="shared" si="6"/>
        <v>111</v>
      </c>
      <c r="R13" s="770" t="s">
        <v>21</v>
      </c>
      <c r="S13" s="771">
        <f t="shared" si="0"/>
        <v>100</v>
      </c>
      <c r="T13" s="770" t="s">
        <v>21</v>
      </c>
      <c r="U13" s="771">
        <f t="shared" si="1"/>
        <v>100</v>
      </c>
      <c r="V13" s="770" t="s">
        <v>21</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58"/>
      <c r="Q14" s="1795">
        <f t="shared" si="6"/>
        <v>111</v>
      </c>
      <c r="R14" s="770" t="s">
        <v>21</v>
      </c>
      <c r="S14" s="771">
        <f t="shared" si="0"/>
        <v>100</v>
      </c>
      <c r="T14" s="770" t="s">
        <v>21</v>
      </c>
      <c r="U14" s="771">
        <f t="shared" si="1"/>
        <v>100</v>
      </c>
      <c r="V14" s="770" t="s">
        <v>21</v>
      </c>
      <c r="W14" s="771">
        <f t="shared" si="2"/>
        <v>100</v>
      </c>
      <c r="X14" s="772"/>
      <c r="Y14" s="3702"/>
      <c r="Z14" s="55">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6" t="s">
        <v>2561</v>
      </c>
      <c r="Q15" s="1810" t="str">
        <f t="shared" si="6"/>
        <v>居住社区成熟度</v>
      </c>
      <c r="R15" s="774" t="s">
        <v>21</v>
      </c>
      <c r="S15" s="775">
        <f t="shared" si="0"/>
        <v>100</v>
      </c>
      <c r="T15" s="774" t="s">
        <v>21</v>
      </c>
      <c r="U15" s="775">
        <f t="shared" si="1"/>
        <v>100</v>
      </c>
      <c r="V15" s="774" t="s">
        <v>21</v>
      </c>
      <c r="W15" s="775">
        <f t="shared" si="2"/>
        <v>100</v>
      </c>
      <c r="X15" s="1813"/>
      <c r="Y15" s="3849" t="s">
        <v>2561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39"/>
      <c r="M16" s="1130"/>
      <c r="N16" s="1130"/>
      <c r="O16" s="1130"/>
      <c r="P16" s="3857"/>
      <c r="Q16" s="1810"/>
      <c r="R16" s="774"/>
      <c r="S16" s="775"/>
      <c r="T16" s="774"/>
      <c r="U16" s="775"/>
      <c r="V16" s="774"/>
      <c r="W16" s="775"/>
      <c r="X16" s="1813"/>
      <c r="Y16" s="3850"/>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7"/>
      <c r="Q17" s="1810" t="str">
        <f>B17</f>
        <v>交通便捷度</v>
      </c>
      <c r="R17" s="774" t="s">
        <v>21</v>
      </c>
      <c r="S17" s="775">
        <f>F17</f>
        <v>100</v>
      </c>
      <c r="T17" s="774" t="s">
        <v>21</v>
      </c>
      <c r="U17" s="775">
        <f>H17</f>
        <v>100</v>
      </c>
      <c r="V17" s="774" t="s">
        <v>21</v>
      </c>
      <c r="W17" s="775">
        <f>J17</f>
        <v>100</v>
      </c>
      <c r="X17" s="1813"/>
      <c r="Y17" s="3850"/>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39"/>
      <c r="M18" s="1130"/>
      <c r="N18" s="1130"/>
      <c r="O18" s="1130"/>
      <c r="P18" s="3857"/>
      <c r="Q18" s="1810"/>
      <c r="R18" s="774"/>
      <c r="S18" s="775"/>
      <c r="T18" s="774"/>
      <c r="U18" s="775"/>
      <c r="V18" s="774"/>
      <c r="W18" s="775"/>
      <c r="X18" s="1813"/>
      <c r="Y18" s="3850"/>
      <c r="Z18" s="1814"/>
      <c r="AA18" s="1811">
        <v>1</v>
      </c>
      <c r="AB18" s="1811">
        <v>1</v>
      </c>
      <c r="AC18" s="1811">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7"/>
      <c r="Q19" s="1810" t="str">
        <f>B19</f>
        <v>公共配套设施</v>
      </c>
      <c r="R19" s="774" t="s">
        <v>21</v>
      </c>
      <c r="S19" s="775">
        <f>F19</f>
        <v>100</v>
      </c>
      <c r="T19" s="774" t="s">
        <v>21</v>
      </c>
      <c r="U19" s="775">
        <f>H19</f>
        <v>100</v>
      </c>
      <c r="V19" s="774" t="s">
        <v>21</v>
      </c>
      <c r="W19" s="775">
        <f>J19</f>
        <v>100</v>
      </c>
      <c r="X19" s="1813"/>
      <c r="Y19" s="3850"/>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39"/>
      <c r="M20" s="1130"/>
      <c r="N20" s="1130"/>
      <c r="O20" s="1130"/>
      <c r="P20" s="3857"/>
      <c r="Q20" s="1810"/>
      <c r="R20" s="774"/>
      <c r="S20" s="775"/>
      <c r="T20" s="774"/>
      <c r="U20" s="775"/>
      <c r="V20" s="774"/>
      <c r="W20" s="775"/>
      <c r="X20" s="1813"/>
      <c r="Y20" s="3850"/>
      <c r="Z20" s="1814"/>
      <c r="AA20" s="1811">
        <v>1</v>
      </c>
      <c r="AB20" s="1811">
        <v>1</v>
      </c>
      <c r="AC20" s="1811">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8"/>
      <c r="G22" s="2610"/>
      <c r="H22" s="448"/>
      <c r="I22" s="447"/>
      <c r="J22" s="448"/>
      <c r="K22" s="2611"/>
      <c r="L22" s="1139"/>
      <c r="M22" s="1130"/>
      <c r="N22" s="1130"/>
      <c r="O22" s="1130"/>
      <c r="P22" s="3857"/>
      <c r="Q22" s="1810"/>
      <c r="R22" s="774"/>
      <c r="S22" s="775"/>
      <c r="T22" s="774"/>
      <c r="U22" s="775"/>
      <c r="V22" s="774"/>
      <c r="W22" s="775"/>
      <c r="X22" s="1813"/>
      <c r="Y22" s="3850"/>
      <c r="Z22" s="1814"/>
      <c r="AA22" s="1811">
        <v>1</v>
      </c>
      <c r="AB22" s="1811">
        <v>1</v>
      </c>
      <c r="AC22" s="1811">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7"/>
      <c r="Q23" s="1810" t="str">
        <f>B23</f>
        <v>自然及人文环境</v>
      </c>
      <c r="R23" s="774" t="s">
        <v>21</v>
      </c>
      <c r="S23" s="775">
        <f>F23</f>
        <v>100</v>
      </c>
      <c r="T23" s="774" t="s">
        <v>21</v>
      </c>
      <c r="U23" s="775">
        <f>H23</f>
        <v>100</v>
      </c>
      <c r="V23" s="774" t="s">
        <v>21</v>
      </c>
      <c r="W23" s="775">
        <f>J23</f>
        <v>100</v>
      </c>
      <c r="X23" s="1813"/>
      <c r="Y23" s="3850"/>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39"/>
      <c r="M24" s="1130"/>
      <c r="N24" s="1130"/>
      <c r="O24" s="1130"/>
      <c r="P24" s="3857"/>
      <c r="Q24" s="1810"/>
      <c r="R24" s="774"/>
      <c r="S24" s="775"/>
      <c r="T24" s="774"/>
      <c r="U24" s="775"/>
      <c r="V24" s="774"/>
      <c r="W24" s="775"/>
      <c r="X24" s="1813"/>
      <c r="Y24" s="3850"/>
      <c r="Z24" s="1814"/>
      <c r="AA24" s="1811">
        <v>1</v>
      </c>
      <c r="AB24" s="1811">
        <v>1</v>
      </c>
      <c r="AC24" s="1811">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850"/>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7"/>
      <c r="Q26" s="1810" t="str">
        <f t="shared" si="11"/>
        <v>朝向</v>
      </c>
      <c r="R26" s="774" t="s">
        <v>21</v>
      </c>
      <c r="S26" s="775">
        <f t="shared" si="12"/>
        <v>100</v>
      </c>
      <c r="T26" s="774" t="s">
        <v>21</v>
      </c>
      <c r="U26" s="775">
        <f t="shared" si="13"/>
        <v>100</v>
      </c>
      <c r="V26" s="774" t="s">
        <v>21</v>
      </c>
      <c r="W26" s="775">
        <f t="shared" si="14"/>
        <v>100</v>
      </c>
      <c r="X26" s="1813"/>
      <c r="Y26" s="3850"/>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7"/>
      <c r="Q27" s="1795">
        <f t="shared" si="11"/>
        <v>111</v>
      </c>
      <c r="R27" s="770" t="s">
        <v>21</v>
      </c>
      <c r="S27" s="771">
        <f t="shared" si="12"/>
        <v>100</v>
      </c>
      <c r="T27" s="770" t="s">
        <v>21</v>
      </c>
      <c r="U27" s="771">
        <f t="shared" si="13"/>
        <v>100</v>
      </c>
      <c r="V27" s="770" t="s">
        <v>21</v>
      </c>
      <c r="W27" s="771">
        <f t="shared" si="14"/>
        <v>100</v>
      </c>
      <c r="X27" s="772"/>
      <c r="Y27" s="3850"/>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7"/>
      <c r="Q28" s="1810">
        <f t="shared" si="11"/>
        <v>111</v>
      </c>
      <c r="R28" s="774" t="s">
        <v>21</v>
      </c>
      <c r="S28" s="775">
        <f t="shared" si="12"/>
        <v>100</v>
      </c>
      <c r="T28" s="774" t="s">
        <v>21</v>
      </c>
      <c r="U28" s="775">
        <f t="shared" si="13"/>
        <v>100</v>
      </c>
      <c r="V28" s="774" t="s">
        <v>21</v>
      </c>
      <c r="W28" s="775">
        <f t="shared" si="14"/>
        <v>100</v>
      </c>
      <c r="X28" s="1813"/>
      <c r="Y28" s="3850"/>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7"/>
      <c r="Q29" s="1810">
        <f t="shared" si="11"/>
        <v>111</v>
      </c>
      <c r="R29" s="774" t="s">
        <v>21</v>
      </c>
      <c r="S29" s="775">
        <f t="shared" si="12"/>
        <v>100</v>
      </c>
      <c r="T29" s="774" t="s">
        <v>21</v>
      </c>
      <c r="U29" s="775">
        <f t="shared" si="13"/>
        <v>100</v>
      </c>
      <c r="V29" s="774" t="s">
        <v>21</v>
      </c>
      <c r="W29" s="775">
        <f t="shared" si="14"/>
        <v>100</v>
      </c>
      <c r="X29" s="1813"/>
      <c r="Y29" s="3850"/>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7"/>
      <c r="Q30" s="1810">
        <f t="shared" si="11"/>
        <v>111</v>
      </c>
      <c r="R30" s="774" t="s">
        <v>21</v>
      </c>
      <c r="S30" s="775">
        <f t="shared" si="12"/>
        <v>100</v>
      </c>
      <c r="T30" s="774" t="s">
        <v>21</v>
      </c>
      <c r="U30" s="775">
        <f t="shared" si="13"/>
        <v>100</v>
      </c>
      <c r="V30" s="774" t="s">
        <v>21</v>
      </c>
      <c r="W30" s="775">
        <f t="shared" si="14"/>
        <v>100</v>
      </c>
      <c r="X30" s="1813"/>
      <c r="Y30" s="3850"/>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7"/>
      <c r="Q31" s="1810">
        <f t="shared" si="11"/>
        <v>111</v>
      </c>
      <c r="R31" s="774" t="s">
        <v>21</v>
      </c>
      <c r="S31" s="775">
        <f t="shared" si="12"/>
        <v>100</v>
      </c>
      <c r="T31" s="774" t="s">
        <v>21</v>
      </c>
      <c r="U31" s="775">
        <f t="shared" si="13"/>
        <v>100</v>
      </c>
      <c r="V31" s="774" t="s">
        <v>21</v>
      </c>
      <c r="W31" s="775">
        <f t="shared" si="14"/>
        <v>100</v>
      </c>
      <c r="X31" s="1813"/>
      <c r="Y31" s="3850"/>
      <c r="Z31" s="1814">
        <f t="shared" si="18"/>
        <v>111</v>
      </c>
      <c r="AA31" s="1811">
        <f t="shared" si="15"/>
        <v>1</v>
      </c>
      <c r="AB31" s="1811">
        <f t="shared" si="16"/>
        <v>1</v>
      </c>
      <c r="AC31" s="1811">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51" t="s">
        <v>2566</v>
      </c>
      <c r="Q32" s="1810" t="str">
        <f t="shared" si="11"/>
        <v>建筑类型</v>
      </c>
      <c r="R32" s="774" t="s">
        <v>21</v>
      </c>
      <c r="S32" s="775">
        <f t="shared" si="12"/>
        <v>100</v>
      </c>
      <c r="T32" s="774" t="s">
        <v>21</v>
      </c>
      <c r="U32" s="775">
        <f t="shared" si="13"/>
        <v>100</v>
      </c>
      <c r="V32" s="774" t="s">
        <v>21</v>
      </c>
      <c r="W32" s="775">
        <f t="shared" si="14"/>
        <v>100</v>
      </c>
      <c r="X32" s="1813"/>
      <c r="Y32" s="3854"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852"/>
      <c r="Q33" s="776" t="str">
        <f t="shared" si="11"/>
        <v>项目建筑规模</v>
      </c>
      <c r="R33" s="777" t="s">
        <v>21</v>
      </c>
      <c r="S33" s="778">
        <f t="shared" si="12"/>
        <v>100</v>
      </c>
      <c r="T33" s="777" t="s">
        <v>21</v>
      </c>
      <c r="U33" s="778">
        <f t="shared" si="13"/>
        <v>100</v>
      </c>
      <c r="V33" s="777" t="s">
        <v>21</v>
      </c>
      <c r="W33" s="778">
        <f t="shared" si="14"/>
        <v>100</v>
      </c>
      <c r="X33" s="779"/>
      <c r="Y33" s="3854"/>
      <c r="Z33" s="780" t="str">
        <f t="shared" si="18"/>
        <v>项目建筑规模</v>
      </c>
      <c r="AA33" s="1811">
        <f t="shared" si="15"/>
        <v>1</v>
      </c>
      <c r="AB33" s="1811">
        <f t="shared" si="16"/>
        <v>1</v>
      </c>
      <c r="AC33" s="1811">
        <f t="shared" si="17"/>
        <v>1</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52"/>
      <c r="Q34" s="1810" t="str">
        <f t="shared" si="11"/>
        <v>建筑结构</v>
      </c>
      <c r="R34" s="774" t="s">
        <v>21</v>
      </c>
      <c r="S34" s="775">
        <f t="shared" si="12"/>
        <v>100</v>
      </c>
      <c r="T34" s="774" t="s">
        <v>21</v>
      </c>
      <c r="U34" s="775">
        <f t="shared" si="13"/>
        <v>100</v>
      </c>
      <c r="V34" s="774" t="s">
        <v>21</v>
      </c>
      <c r="W34" s="775">
        <f t="shared" si="14"/>
        <v>100</v>
      </c>
      <c r="X34" s="1813"/>
      <c r="Y34" s="3854"/>
      <c r="Z34" s="1814" t="str">
        <f t="shared" si="18"/>
        <v>建筑结构</v>
      </c>
      <c r="AA34" s="1811">
        <f t="shared" si="15"/>
        <v>1</v>
      </c>
      <c r="AB34" s="1811">
        <f t="shared" si="16"/>
        <v>1</v>
      </c>
      <c r="AC34" s="1811">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52"/>
      <c r="Q35" s="1810" t="str">
        <f t="shared" si="11"/>
        <v>建筑品质</v>
      </c>
      <c r="R35" s="774" t="s">
        <v>21</v>
      </c>
      <c r="S35" s="775">
        <f t="shared" si="12"/>
        <v>100</v>
      </c>
      <c r="T35" s="774" t="s">
        <v>21</v>
      </c>
      <c r="U35" s="775">
        <f t="shared" si="13"/>
        <v>100</v>
      </c>
      <c r="V35" s="774" t="s">
        <v>21</v>
      </c>
      <c r="W35" s="775">
        <f t="shared" si="14"/>
        <v>100</v>
      </c>
      <c r="X35" s="1813"/>
      <c r="Y35" s="3854"/>
      <c r="Z35" s="1814" t="str">
        <f t="shared" si="18"/>
        <v>建筑品质</v>
      </c>
      <c r="AA35" s="1811">
        <f t="shared" si="15"/>
        <v>1</v>
      </c>
      <c r="AB35" s="1811">
        <f t="shared" si="16"/>
        <v>1</v>
      </c>
      <c r="AC35" s="1811">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52"/>
      <c r="Q36" s="1810" t="str">
        <f t="shared" si="11"/>
        <v>公共部分装修</v>
      </c>
      <c r="R36" s="774" t="s">
        <v>21</v>
      </c>
      <c r="S36" s="775">
        <f t="shared" si="12"/>
        <v>100</v>
      </c>
      <c r="T36" s="774" t="s">
        <v>21</v>
      </c>
      <c r="U36" s="775">
        <f t="shared" si="13"/>
        <v>100</v>
      </c>
      <c r="V36" s="774" t="s">
        <v>21</v>
      </c>
      <c r="W36" s="775">
        <f t="shared" si="14"/>
        <v>100</v>
      </c>
      <c r="X36" s="1813"/>
      <c r="Y36" s="3854"/>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52"/>
      <c r="Q37" s="1795" t="str">
        <f t="shared" si="11"/>
        <v>成新度</v>
      </c>
      <c r="R37" s="770" t="s">
        <v>21</v>
      </c>
      <c r="S37" s="771" t="e">
        <f t="shared" si="12"/>
        <v>#N/A</v>
      </c>
      <c r="T37" s="770" t="s">
        <v>21</v>
      </c>
      <c r="U37" s="771" t="e">
        <f t="shared" si="13"/>
        <v>#N/A</v>
      </c>
      <c r="V37" s="770" t="s">
        <v>21</v>
      </c>
      <c r="W37" s="771" t="e">
        <f t="shared" si="14"/>
        <v>#N/A</v>
      </c>
      <c r="X37" s="772"/>
      <c r="Y37" s="3854"/>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52" t="s">
        <v>2566</v>
      </c>
      <c r="Q38" s="1810" t="str">
        <f t="shared" si="11"/>
        <v>物业管理</v>
      </c>
      <c r="R38" s="774" t="s">
        <v>21</v>
      </c>
      <c r="S38" s="775">
        <f t="shared" si="12"/>
        <v>100</v>
      </c>
      <c r="T38" s="774" t="s">
        <v>21</v>
      </c>
      <c r="U38" s="775">
        <f t="shared" si="13"/>
        <v>100</v>
      </c>
      <c r="V38" s="774" t="s">
        <v>21</v>
      </c>
      <c r="W38" s="775">
        <f t="shared" si="14"/>
        <v>100</v>
      </c>
      <c r="X38" s="1813"/>
      <c r="Y38" s="3854" t="s">
        <v>2566</v>
      </c>
      <c r="Z38" s="1814" t="str">
        <f t="shared" si="18"/>
        <v>物业管理</v>
      </c>
      <c r="AA38" s="1811">
        <f t="shared" si="15"/>
        <v>1</v>
      </c>
      <c r="AB38" s="1811">
        <f t="shared" si="16"/>
        <v>1</v>
      </c>
      <c r="AC38" s="1811">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52"/>
      <c r="Q39" s="1810" t="str">
        <f t="shared" si="11"/>
        <v>市政基础设施</v>
      </c>
      <c r="R39" s="774" t="s">
        <v>21</v>
      </c>
      <c r="S39" s="775">
        <f t="shared" si="12"/>
        <v>100</v>
      </c>
      <c r="T39" s="774" t="s">
        <v>21</v>
      </c>
      <c r="U39" s="775">
        <f t="shared" si="13"/>
        <v>100</v>
      </c>
      <c r="V39" s="774" t="s">
        <v>21</v>
      </c>
      <c r="W39" s="775">
        <f t="shared" si="14"/>
        <v>100</v>
      </c>
      <c r="X39" s="1813"/>
      <c r="Y39" s="3854"/>
      <c r="Z39" s="1814" t="str">
        <f t="shared" si="18"/>
        <v>市政基础设施</v>
      </c>
      <c r="AA39" s="1811">
        <f t="shared" si="15"/>
        <v>1</v>
      </c>
      <c r="AB39" s="1811">
        <f t="shared" si="16"/>
        <v>1</v>
      </c>
      <c r="AC39" s="1811">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52"/>
      <c r="Q40" s="1810" t="str">
        <f t="shared" si="11"/>
        <v>房型</v>
      </c>
      <c r="R40" s="774" t="s">
        <v>21</v>
      </c>
      <c r="S40" s="775">
        <f t="shared" si="12"/>
        <v>100</v>
      </c>
      <c r="T40" s="774" t="s">
        <v>21</v>
      </c>
      <c r="U40" s="775">
        <f t="shared" si="13"/>
        <v>100</v>
      </c>
      <c r="V40" s="774" t="s">
        <v>21</v>
      </c>
      <c r="W40" s="775">
        <f t="shared" si="14"/>
        <v>100</v>
      </c>
      <c r="X40" s="1813"/>
      <c r="Y40" s="3854"/>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52"/>
      <c r="Q41" s="776" t="str">
        <f t="shared" si="11"/>
        <v>单套/主力户型建筑面积</v>
      </c>
      <c r="R41" s="777" t="s">
        <v>21</v>
      </c>
      <c r="S41" s="778">
        <f t="shared" si="12"/>
        <v>100</v>
      </c>
      <c r="T41" s="777" t="s">
        <v>21</v>
      </c>
      <c r="U41" s="778">
        <f t="shared" si="13"/>
        <v>100</v>
      </c>
      <c r="V41" s="777" t="s">
        <v>21</v>
      </c>
      <c r="W41" s="778">
        <f t="shared" si="14"/>
        <v>100</v>
      </c>
      <c r="X41" s="779"/>
      <c r="Y41" s="3854"/>
      <c r="Z41" s="780" t="str">
        <f t="shared" si="18"/>
        <v>单套/主力户型建筑面积</v>
      </c>
      <c r="AA41" s="1811">
        <f t="shared" si="15"/>
        <v>1</v>
      </c>
      <c r="AB41" s="1811">
        <f t="shared" si="16"/>
        <v>1</v>
      </c>
      <c r="AC41" s="1811">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52"/>
      <c r="Q42" s="1810" t="str">
        <f t="shared" si="11"/>
        <v>内部装修</v>
      </c>
      <c r="R42" s="774" t="s">
        <v>21</v>
      </c>
      <c r="S42" s="775">
        <f t="shared" si="12"/>
        <v>100</v>
      </c>
      <c r="T42" s="774" t="s">
        <v>21</v>
      </c>
      <c r="U42" s="775">
        <f t="shared" si="13"/>
        <v>100</v>
      </c>
      <c r="V42" s="774" t="s">
        <v>21</v>
      </c>
      <c r="W42" s="775">
        <f t="shared" si="14"/>
        <v>100</v>
      </c>
      <c r="X42" s="1813"/>
      <c r="Y42" s="3854"/>
      <c r="Z42" s="1814" t="str">
        <f t="shared" si="18"/>
        <v>内部装修</v>
      </c>
      <c r="AA42" s="1811">
        <f t="shared" si="15"/>
        <v>1</v>
      </c>
      <c r="AB42" s="1811">
        <f t="shared" si="16"/>
        <v>1</v>
      </c>
      <c r="AC42" s="1811">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52"/>
      <c r="Q43" s="1810" t="str">
        <f t="shared" si="11"/>
        <v>内部装修维护情况</v>
      </c>
      <c r="R43" s="774" t="s">
        <v>21</v>
      </c>
      <c r="S43" s="775">
        <f t="shared" si="12"/>
        <v>100</v>
      </c>
      <c r="T43" s="774" t="s">
        <v>21</v>
      </c>
      <c r="U43" s="775">
        <f t="shared" si="13"/>
        <v>100</v>
      </c>
      <c r="V43" s="774" t="s">
        <v>21</v>
      </c>
      <c r="W43" s="775">
        <f t="shared" si="14"/>
        <v>100</v>
      </c>
      <c r="X43" s="1813"/>
      <c r="Y43" s="3854"/>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52"/>
      <c r="Q44" s="1795">
        <f t="shared" si="11"/>
        <v>111</v>
      </c>
      <c r="R44" s="770" t="s">
        <v>21</v>
      </c>
      <c r="S44" s="771">
        <f t="shared" si="12"/>
        <v>100</v>
      </c>
      <c r="T44" s="770" t="s">
        <v>21</v>
      </c>
      <c r="U44" s="771">
        <f t="shared" si="13"/>
        <v>100</v>
      </c>
      <c r="V44" s="770" t="s">
        <v>21</v>
      </c>
      <c r="W44" s="771">
        <f t="shared" si="14"/>
        <v>100</v>
      </c>
      <c r="X44" s="772"/>
      <c r="Y44" s="385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52"/>
      <c r="Q45" s="1810">
        <f t="shared" si="11"/>
        <v>111</v>
      </c>
      <c r="R45" s="774" t="s">
        <v>21</v>
      </c>
      <c r="S45" s="775">
        <f t="shared" si="12"/>
        <v>100</v>
      </c>
      <c r="T45" s="774" t="s">
        <v>21</v>
      </c>
      <c r="U45" s="775">
        <f t="shared" si="13"/>
        <v>100</v>
      </c>
      <c r="V45" s="774" t="s">
        <v>21</v>
      </c>
      <c r="W45" s="775">
        <f t="shared" si="14"/>
        <v>100</v>
      </c>
      <c r="X45" s="1813"/>
      <c r="Y45" s="3854"/>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53"/>
      <c r="Q46" s="1810">
        <f t="shared" si="11"/>
        <v>111</v>
      </c>
      <c r="R46" s="774" t="s">
        <v>20</v>
      </c>
      <c r="S46" s="775">
        <f t="shared" si="12"/>
        <v>100</v>
      </c>
      <c r="T46" s="774" t="s">
        <v>20</v>
      </c>
      <c r="U46" s="775">
        <f t="shared" si="13"/>
        <v>100</v>
      </c>
      <c r="V46" s="774" t="s">
        <v>20</v>
      </c>
      <c r="W46" s="775">
        <f t="shared" si="14"/>
        <v>100</v>
      </c>
      <c r="X46" s="1813"/>
      <c r="Y46" s="3855"/>
      <c r="Z46" s="1814">
        <f t="shared" si="18"/>
        <v>111</v>
      </c>
      <c r="AA46" s="1811">
        <f t="shared" si="15"/>
        <v>1</v>
      </c>
      <c r="AB46" s="1811">
        <f t="shared" si="16"/>
        <v>1</v>
      </c>
      <c r="AC46" s="1811">
        <f t="shared" si="17"/>
        <v>1</v>
      </c>
    </row>
    <row r="47" spans="1:29" ht="15">
      <c r="A47" s="479" t="s">
        <v>2578</v>
      </c>
      <c r="B47" s="480"/>
      <c r="C47" s="1406" t="s">
        <v>19</v>
      </c>
      <c r="D47" s="1407"/>
      <c r="E47" s="1408"/>
      <c r="F47" s="1409"/>
      <c r="G47" s="1410"/>
      <c r="H47" s="1411"/>
      <c r="I47" s="1408"/>
      <c r="J47" s="1411"/>
      <c r="K47" s="2620"/>
      <c r="L47" s="1142"/>
      <c r="M47" s="1143"/>
      <c r="N47" s="1130"/>
      <c r="O47" s="1143"/>
      <c r="P47" s="3847" t="str">
        <f>A47</f>
        <v>成交单价（元/平方米）</v>
      </c>
      <c r="Q47" s="3847"/>
      <c r="R47" s="3848">
        <f>E47</f>
        <v>0</v>
      </c>
      <c r="S47" s="3848"/>
      <c r="T47" s="3848">
        <f>G47</f>
        <v>0</v>
      </c>
      <c r="U47" s="3848"/>
      <c r="V47" s="3848">
        <f>I47</f>
        <v>0</v>
      </c>
      <c r="W47" s="3848"/>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7" t="str">
        <f>A48</f>
        <v>比较价值（元/平方米）</v>
      </c>
      <c r="Q48" s="3847"/>
      <c r="R48" s="3848" t="e">
        <f>IF(F1="售价",ROUND(PRODUCT(R47,AA7:AA46),0),ROUND(PRODUCT(R47,AA7:AA46),1))</f>
        <v>#DIV/0!</v>
      </c>
      <c r="S48" s="3848"/>
      <c r="T48" s="3848" t="e">
        <f>IF(F1="售价",ROUND(PRODUCT(T47,AB7:AB46),0),ROUND(PRODUCT(T47,AB7:AB46),1))</f>
        <v>#DIV/0!</v>
      </c>
      <c r="U48" s="3848"/>
      <c r="V48" s="3848" t="e">
        <f>IF(F1="售价",ROUND(PRODUCT(V47,AC7:AC46),0),ROUND(PRODUCT(V47,AC7:AC46),1))</f>
        <v>#DIV/0!</v>
      </c>
      <c r="W48" s="3848"/>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44" t="str">
        <f>A49</f>
        <v>估价对象XX用房的比较价值（楼面单价，元/平方米）</v>
      </c>
      <c r="Q49" s="3845"/>
      <c r="R49" s="3846" t="e">
        <f>IF(F1="售价",ROUND(AVERAGE(R48:V48),0),ROUND(AVERAGE(R48:V48),1))</f>
        <v>#DIV/0!</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92" priority="15" stopIfTrue="1" operator="containsText" text="超过">
      <formula>NOT(ISERROR(SEARCH("超过",F52)))</formula>
    </cfRule>
  </conditionalFormatting>
  <conditionalFormatting sqref="J54">
    <cfRule type="containsText" dxfId="191" priority="14" stopIfTrue="1" operator="containsText" text="超过">
      <formula>NOT(ISERROR(SEARCH("超过",J54)))</formula>
    </cfRule>
  </conditionalFormatting>
  <conditionalFormatting sqref="H54">
    <cfRule type="containsText" dxfId="190" priority="13" stopIfTrue="1" operator="containsText" text="超过">
      <formula>NOT(ISERROR(SEARCH("超过",H54)))</formula>
    </cfRule>
  </conditionalFormatting>
  <conditionalFormatting sqref="F54">
    <cfRule type="containsText" dxfId="189" priority="12" stopIfTrue="1" operator="containsText" text="超过">
      <formula>NOT(ISERROR(SEARCH("超过",F54)))</formula>
    </cfRule>
  </conditionalFormatting>
  <conditionalFormatting sqref="F53 H53 J53">
    <cfRule type="containsText" dxfId="188" priority="11" stopIfTrue="1" operator="containsText" text="超过">
      <formula>NOT(ISERROR(SEARCH("超过",F53)))</formula>
    </cfRule>
  </conditionalFormatting>
  <conditionalFormatting sqref="E52">
    <cfRule type="expression" dxfId="187" priority="10"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658" t="str">
        <f>项目基本情况!B1</f>
        <v>出让国有建设用地使用权及在建建筑物房地产抵押价值预评估</v>
      </c>
      <c r="C37" s="3658"/>
      <c r="D37" s="3658"/>
      <c r="E37" s="3658"/>
      <c r="F37" s="3658"/>
      <c r="G37" s="3658"/>
      <c r="H37" s="3658"/>
      <c r="I37" s="3658"/>
    </row>
    <row r="38" spans="1:9">
      <c r="A38" s="1015"/>
      <c r="B38" s="1015"/>
    </row>
    <row r="39" spans="1:9">
      <c r="A39" s="1013" t="s">
        <v>818</v>
      </c>
      <c r="B39" s="1013" t="s">
        <v>820</v>
      </c>
    </row>
    <row r="40" spans="1:9">
      <c r="A40" s="1013"/>
      <c r="B40" s="1942" t="str">
        <f>项目基本情况!B5</f>
        <v>北京国锐房地产开发有限公司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1378</v>
      </c>
      <c r="D1" s="1820" t="s">
        <v>70</v>
      </c>
      <c r="E1" s="1821" t="s">
        <v>1388</v>
      </c>
      <c r="F1" s="1282">
        <f ca="1">J53</f>
        <v>31.46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33351</v>
      </c>
      <c r="C2" s="1845" t="s">
        <v>1518</v>
      </c>
      <c r="D2" s="1845"/>
      <c r="E2" s="1846"/>
      <c r="F2" s="1847"/>
      <c r="G2" s="1848"/>
      <c r="H2" s="1840"/>
      <c r="I2" s="1840"/>
      <c r="J2" s="1840"/>
      <c r="K2" s="1841"/>
      <c r="L2" s="1840"/>
      <c r="M2" s="1840"/>
    </row>
    <row r="3" spans="1:37" ht="18" customHeight="1" thickBot="1">
      <c r="A3" s="1849" t="s">
        <v>1519</v>
      </c>
      <c r="B3" s="1850">
        <f ca="1">IF(ISERROR(B2*10000/F43),0,ROUND(B2*10000/F43,0))</f>
        <v>66969</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1802</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1800</v>
      </c>
      <c r="D6" s="164" t="s">
        <v>3034</v>
      </c>
      <c r="E6" s="347" t="s">
        <v>1406</v>
      </c>
      <c r="F6" s="348">
        <f ca="1">INDIRECT("'数据-取费表'!u"&amp;$G$1)</f>
        <v>11</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51" t="s">
        <v>1407</v>
      </c>
      <c r="F7" s="348">
        <f ca="1">IF(INDIRECT("'数据-取费表'!ah"&amp;$G$1)="",INDIRECT("'数据-取费表'!k"&amp;$G$1),INDIRECT("'数据-取费表'!ah"&amp;$G$1))</f>
        <v>4980.1000000000004</v>
      </c>
      <c r="G7" s="1851"/>
      <c r="H7" s="349"/>
      <c r="I7" s="3891"/>
      <c r="J7" s="351"/>
      <c r="K7" s="352"/>
      <c r="L7" s="347" t="s">
        <v>1407</v>
      </c>
      <c r="M7" s="348">
        <f ca="1">F7</f>
        <v>4980.1000000000004</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2</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3056</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1881</v>
      </c>
      <c r="D14" s="2954" t="s">
        <v>1420</v>
      </c>
      <c r="E14" s="2953"/>
      <c r="F14" s="364"/>
      <c r="G14" s="1851"/>
      <c r="H14" s="1200" t="s">
        <v>1035</v>
      </c>
      <c r="I14" s="347" t="s">
        <v>1421</v>
      </c>
      <c r="J14" s="24">
        <f ca="1">C29</f>
        <v>3056</v>
      </c>
      <c r="K14" s="2950"/>
      <c r="L14" s="978"/>
      <c r="M14" s="979"/>
    </row>
    <row r="15" spans="1:37" s="1858" customFormat="1" ht="18" customHeight="1" thickBot="1">
      <c r="A15" s="1200" t="s">
        <v>1036</v>
      </c>
      <c r="B15" s="347" t="s">
        <v>1422</v>
      </c>
      <c r="C15" s="24">
        <f ca="1">ROUND(C14*F15,0)</f>
        <v>56</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87</v>
      </c>
      <c r="K16" s="1336" t="s">
        <v>1427</v>
      </c>
      <c r="L16" s="2956"/>
      <c r="M16" s="1293"/>
    </row>
    <row r="17" spans="1:37" s="1858" customFormat="1" ht="18" customHeight="1">
      <c r="A17" s="1200" t="s">
        <v>1391</v>
      </c>
      <c r="B17" s="347" t="s">
        <v>1428</v>
      </c>
      <c r="C17" s="24">
        <f ca="1">ROUND(F17*(F43+INDIRECT("'数据-取费表'!S"&amp;$G$1))/10000,0)</f>
        <v>113</v>
      </c>
      <c r="D17" s="347" t="s">
        <v>1429</v>
      </c>
      <c r="E17" s="347" t="s">
        <v>1430</v>
      </c>
      <c r="F17" s="26">
        <f>'数据-取费表'!B35</f>
        <v>200</v>
      </c>
      <c r="G17" s="1854"/>
      <c r="H17" s="1200" t="s">
        <v>1035</v>
      </c>
      <c r="I17" s="347" t="s">
        <v>1431</v>
      </c>
      <c r="J17" s="24">
        <f ca="1">ROUND(IF(项目基本情况!B11="自然人",J5*M17,J18+J19+J20),1)</f>
        <v>25.8</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28</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2078</v>
      </c>
      <c r="D19" s="140" t="s">
        <v>1438</v>
      </c>
      <c r="E19" s="2949"/>
      <c r="F19" s="26"/>
      <c r="G19" s="1851"/>
      <c r="H19" s="1200" t="s">
        <v>1036</v>
      </c>
      <c r="I19" s="347" t="s">
        <v>1439</v>
      </c>
      <c r="J19" s="24">
        <f ca="1">IF(K19="按租金收入计税",ROUND(J5*M19,2),ROUND(C29*M19*0.7,2))</f>
        <v>25.67</v>
      </c>
      <c r="K19" s="1828" t="s">
        <v>1440</v>
      </c>
      <c r="L19" s="347" t="s">
        <v>1424</v>
      </c>
      <c r="M19" s="367">
        <f>IF(K19="按租金收入计税",'数据-取费表'!B51,'数据-取费表'!B50)</f>
        <v>1.2E-2</v>
      </c>
    </row>
    <row r="20" spans="1:37" s="1858" customFormat="1" ht="18" customHeight="1">
      <c r="A20" s="1200" t="s">
        <v>1039</v>
      </c>
      <c r="B20" s="347" t="s">
        <v>1441</v>
      </c>
      <c r="C20" s="24">
        <f ca="1">ROUND(C19*F20,0)</f>
        <v>62</v>
      </c>
      <c r="D20" s="369" t="s">
        <v>1442</v>
      </c>
      <c r="E20" s="347" t="s">
        <v>1424</v>
      </c>
      <c r="F20" s="367">
        <f>'数据-取费表'!B37</f>
        <v>0.03</v>
      </c>
      <c r="G20" s="1854"/>
      <c r="H20" s="1200" t="s">
        <v>1390</v>
      </c>
      <c r="I20" s="164" t="s">
        <v>1443</v>
      </c>
      <c r="J20" s="25">
        <f ca="1">ROUND(M20*M21/10000,2)</f>
        <v>0.16</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1071.1300000000001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61.1</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102</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-87</v>
      </c>
      <c r="K25" s="1344" t="s">
        <v>1466</v>
      </c>
      <c r="L25" s="1345"/>
      <c r="M25" s="1346"/>
    </row>
    <row r="26" spans="1:37">
      <c r="A26" s="1200" t="s">
        <v>1034</v>
      </c>
      <c r="B26" s="347" t="s">
        <v>1467</v>
      </c>
      <c r="C26" s="24">
        <f ca="1">ROUND((C19+C20)*F26,0)</f>
        <v>535</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0.06</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3056</v>
      </c>
      <c r="D29" s="1341"/>
      <c r="E29" s="1339"/>
      <c r="F29" s="1342"/>
      <c r="G29" s="1854"/>
      <c r="H29" s="380" t="s">
        <v>1033</v>
      </c>
      <c r="I29" s="381" t="s">
        <v>1481</v>
      </c>
      <c r="J29" s="382">
        <f ca="1">ROUND(J26/(1+F40)^F41,0)</f>
        <v>0</v>
      </c>
      <c r="K29" s="383" t="s">
        <v>1482</v>
      </c>
      <c r="L29" s="384"/>
      <c r="M29" s="385">
        <f ca="1">INDIRECT("'数据-取费表'!k"&amp;$G$1)</f>
        <v>4980.1000000000004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223</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120.2</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94.39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25.67</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0.16</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1071.1300000000001</v>
      </c>
      <c r="G35" s="1851"/>
      <c r="H35" s="745"/>
      <c r="I35" s="1860"/>
      <c r="J35" s="1861"/>
      <c r="K35" s="1862"/>
      <c r="L35" s="1859"/>
      <c r="M35" s="1859"/>
    </row>
    <row r="36" spans="1:18" ht="18" customHeight="1">
      <c r="A36" s="1351" t="s">
        <v>1039</v>
      </c>
      <c r="B36" s="347" t="s">
        <v>1451</v>
      </c>
      <c r="C36" s="24">
        <f ca="1">ROUND(C29*F36,1)</f>
        <v>61.1</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6.1</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36</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1579</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33351</v>
      </c>
      <c r="D40" s="370" t="s">
        <v>1471</v>
      </c>
      <c r="E40" s="347" t="s">
        <v>1472</v>
      </c>
      <c r="F40" s="357">
        <f ca="1">INDIRECT("'数据-取费表'!I"&amp;$G$1)</f>
        <v>0.06</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31.46</v>
      </c>
      <c r="G41" s="1851"/>
      <c r="H41" s="732"/>
      <c r="I41" s="1860"/>
      <c r="J41" s="1861"/>
      <c r="K41" s="751"/>
      <c r="L41" s="732"/>
      <c r="M41" s="732"/>
    </row>
    <row r="42" spans="1:18" ht="18" customHeight="1">
      <c r="A42" s="353"/>
      <c r="B42" s="354"/>
      <c r="C42" s="355"/>
      <c r="D42" s="373"/>
      <c r="E42" s="347" t="s">
        <v>1479</v>
      </c>
      <c r="F42" s="357">
        <f ca="1">INDIRECT("'数据-取费表'!v"&amp;$G$1)</f>
        <v>3.5000000000000003E-2</v>
      </c>
      <c r="G42" s="1851"/>
      <c r="H42" s="732"/>
      <c r="I42" s="1860"/>
      <c r="J42" s="1861"/>
      <c r="K42" s="751"/>
      <c r="L42" s="732"/>
      <c r="M42" s="732"/>
    </row>
    <row r="43" spans="1:18" ht="18" customHeight="1" thickBot="1">
      <c r="A43" s="380" t="s">
        <v>1033</v>
      </c>
      <c r="B43" s="381" t="s">
        <v>1489</v>
      </c>
      <c r="C43" s="382">
        <f ca="1">ROUND(C40*10000/F43,0)</f>
        <v>66969</v>
      </c>
      <c r="D43" s="383" t="s">
        <v>1490</v>
      </c>
      <c r="E43" s="384" t="s">
        <v>1491</v>
      </c>
      <c r="F43" s="385">
        <f ca="1">INDIRECT("'数据-取费表'!k"&amp;$G$1)</f>
        <v>4980.1000000000004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-34653</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40</v>
      </c>
      <c r="M47" s="1838" t="str">
        <f>IF(ISNUMBER(FIND("住宅",C1)),"住宅","非住宅")</f>
        <v>非住宅</v>
      </c>
      <c r="O47" s="1884" t="s">
        <v>1040</v>
      </c>
      <c r="P47" s="1885" t="s">
        <v>1530</v>
      </c>
      <c r="Q47" s="1886">
        <f ca="1">C40+J29</f>
        <v>33351</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3056</v>
      </c>
      <c r="R49" s="1886" t="s">
        <v>1531</v>
      </c>
    </row>
    <row r="50" spans="1:18" s="1842" customFormat="1" ht="13.5" thickBot="1">
      <c r="A50" s="1194"/>
      <c r="B50" s="1197"/>
      <c r="C50" s="1367"/>
      <c r="D50" s="1171"/>
      <c r="E50" s="1276" t="s">
        <v>1407</v>
      </c>
      <c r="F50" s="1277">
        <f ca="1">F7</f>
        <v>4980.1000000000004</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19309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31.46</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31.46</v>
      </c>
      <c r="K53" s="3893" t="s">
        <v>1550</v>
      </c>
      <c r="L53" s="3894"/>
      <c r="O53" s="1884" t="s">
        <v>1046</v>
      </c>
      <c r="P53" s="1885" t="s">
        <v>1551</v>
      </c>
      <c r="Q53" s="1886">
        <f ca="1">Q47+Q48</f>
        <v>33351</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3056</v>
      </c>
      <c r="D56" s="1914"/>
      <c r="E56" s="1915"/>
      <c r="F56" s="1907"/>
      <c r="I56" s="1916" t="s">
        <v>1556</v>
      </c>
      <c r="J56" s="1917" t="s">
        <v>3042</v>
      </c>
      <c r="K56" s="1887" t="s">
        <v>1557</v>
      </c>
      <c r="L56" s="1890" t="str">
        <f ca="1">IF(L48&lt;J51,"——",L48-J53)</f>
        <v>——</v>
      </c>
      <c r="O56" s="1884" t="s">
        <v>1040</v>
      </c>
      <c r="P56" s="1885" t="s">
        <v>1530</v>
      </c>
      <c r="Q56" s="1886">
        <f ca="1">C40+J29</f>
        <v>33351</v>
      </c>
      <c r="R56" s="1886" t="s">
        <v>1531</v>
      </c>
    </row>
    <row r="57" spans="1:18" s="1842" customFormat="1" ht="24.75" thickBot="1">
      <c r="A57" s="1918"/>
      <c r="B57" s="1168" t="s">
        <v>1480</v>
      </c>
      <c r="C57" s="282">
        <f ca="1">C29</f>
        <v>3056</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93</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25.8</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25.67</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0.16</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33351</v>
      </c>
      <c r="R62" s="1886" t="s">
        <v>1047</v>
      </c>
    </row>
    <row r="63" spans="1:18" s="1842" customFormat="1" ht="13.5" thickBot="1">
      <c r="A63" s="372"/>
      <c r="B63" s="1174"/>
      <c r="C63" s="29"/>
      <c r="D63" s="1184"/>
      <c r="E63" s="1168" t="s">
        <v>1501</v>
      </c>
      <c r="F63" s="348">
        <f t="shared" ca="1" si="0"/>
        <v>1071.1300000000001</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61.1</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6.1</v>
      </c>
      <c r="D65" s="1182" t="s">
        <v>1456</v>
      </c>
      <c r="E65" s="1168" t="s">
        <v>1457</v>
      </c>
      <c r="F65" s="376">
        <f t="shared" ca="1" si="0"/>
        <v>2E-3</v>
      </c>
      <c r="I65" s="1929" t="s">
        <v>1581</v>
      </c>
      <c r="J65" s="1930">
        <v>40</v>
      </c>
      <c r="K65" s="1930">
        <v>30</v>
      </c>
      <c r="L65" s="1930">
        <v>50</v>
      </c>
      <c r="M65" s="1932">
        <v>0.02</v>
      </c>
      <c r="O65" s="1884" t="s">
        <v>1040</v>
      </c>
      <c r="P65" s="1885" t="s">
        <v>1530</v>
      </c>
      <c r="Q65" s="1886">
        <f ca="1">C40+J29</f>
        <v>33351</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-93</v>
      </c>
      <c r="D67" s="1181" t="s">
        <v>1466</v>
      </c>
      <c r="E67" s="1186"/>
      <c r="F67" s="1187"/>
      <c r="O67" s="1894" t="s">
        <v>1042</v>
      </c>
      <c r="P67" s="1885" t="s">
        <v>1564</v>
      </c>
      <c r="Q67" s="1933">
        <f ca="1">L51</f>
        <v>19309</v>
      </c>
      <c r="R67" s="1886" t="s">
        <v>1584</v>
      </c>
    </row>
    <row r="68" spans="1:18" s="1842" customFormat="1" ht="16.5" thickBot="1">
      <c r="A68" s="1165" t="s">
        <v>1032</v>
      </c>
      <c r="B68" s="1166" t="s">
        <v>1487</v>
      </c>
      <c r="C68" s="346">
        <f ca="1">ROUND(C67*(1-((1+F70)/(1+F68))^F69)/(F68-F70),0)</f>
        <v>-1302</v>
      </c>
      <c r="D68" s="1183" t="s">
        <v>1471</v>
      </c>
      <c r="E68" s="1168" t="s">
        <v>1472</v>
      </c>
      <c r="F68" s="357">
        <f ca="1">F40</f>
        <v>0.06</v>
      </c>
      <c r="O68" s="1894" t="s">
        <v>1043</v>
      </c>
      <c r="P68" s="1934" t="s">
        <v>1585</v>
      </c>
      <c r="Q68" s="1886">
        <f ca="1">ROUND(Q69-Q70*Q71,0)</f>
        <v>1304</v>
      </c>
      <c r="R68" s="1886" t="s">
        <v>1051</v>
      </c>
    </row>
    <row r="69" spans="1:18" s="1842" customFormat="1" ht="13.5" thickBot="1">
      <c r="A69" s="1169"/>
      <c r="B69" s="1170"/>
      <c r="C69" s="351"/>
      <c r="D69" s="1188" t="s">
        <v>1475</v>
      </c>
      <c r="E69" s="1168" t="s">
        <v>1476</v>
      </c>
      <c r="F69" s="379">
        <f ca="1">F41</f>
        <v>31.46</v>
      </c>
      <c r="O69" s="1894" t="s">
        <v>1048</v>
      </c>
      <c r="P69" s="1934" t="s">
        <v>1586</v>
      </c>
      <c r="Q69" s="1886">
        <f ca="1">C39</f>
        <v>1579</v>
      </c>
      <c r="R69" s="1886" t="s">
        <v>1531</v>
      </c>
    </row>
    <row r="70" spans="1:18" s="1842" customFormat="1" ht="13.5" thickBot="1">
      <c r="A70" s="1172"/>
      <c r="B70" s="1173"/>
      <c r="C70" s="355"/>
      <c r="D70" s="1184"/>
      <c r="E70" s="1168" t="s">
        <v>1479</v>
      </c>
      <c r="F70" s="1274"/>
      <c r="O70" s="1894" t="s">
        <v>1049</v>
      </c>
      <c r="P70" s="1934" t="s">
        <v>1587</v>
      </c>
      <c r="Q70" s="1886">
        <f ca="1">C13</f>
        <v>3056</v>
      </c>
      <c r="R70" s="1886" t="s">
        <v>1531</v>
      </c>
    </row>
    <row r="71" spans="1:18" s="1842" customFormat="1" ht="13.5" thickBot="1">
      <c r="A71" s="1189" t="s">
        <v>1033</v>
      </c>
      <c r="B71" s="1190" t="s">
        <v>1489</v>
      </c>
      <c r="C71" s="382">
        <f ca="1">ROUND(C68*10000/F71,0)</f>
        <v>-2614</v>
      </c>
      <c r="D71" s="1191" t="s">
        <v>1490</v>
      </c>
      <c r="E71" s="1192" t="s">
        <v>1491</v>
      </c>
      <c r="F71" s="385">
        <f ca="1">F43</f>
        <v>4980.1000000000004</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275</v>
      </c>
      <c r="D75" s="1842"/>
      <c r="E75" s="1842"/>
      <c r="F75" s="1842"/>
      <c r="K75" s="1868"/>
      <c r="L75" s="1842"/>
      <c r="O75" s="1884" t="s">
        <v>1046</v>
      </c>
      <c r="P75" s="1885" t="s">
        <v>1551</v>
      </c>
      <c r="Q75" s="1886">
        <f ca="1">Q65+Q66</f>
        <v>33351</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0.82600000000000007</v>
      </c>
    </row>
    <row r="80" spans="1:18">
      <c r="B80" s="386" t="s">
        <v>1513</v>
      </c>
      <c r="C80" s="318">
        <f ca="1">ROUND(C75/C39,3)</f>
        <v>0.17399999999999999</v>
      </c>
    </row>
    <row r="81" spans="2:3">
      <c r="B81" s="314" t="s">
        <v>1514</v>
      </c>
      <c r="C81" s="282"/>
    </row>
    <row r="82" spans="2:3">
      <c r="B82" s="317" t="s">
        <v>1515</v>
      </c>
      <c r="C82" s="319">
        <f ca="1">1-C83</f>
        <v>0.90800000000000003</v>
      </c>
    </row>
    <row r="83" spans="2:3">
      <c r="B83" s="317" t="s">
        <v>1516</v>
      </c>
      <c r="C83" s="318">
        <f ca="1">ROUND(C13/C40,3)</f>
        <v>9.1999999999999998E-2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I27" sqref="I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10</v>
      </c>
    </row>
    <row r="2" spans="1:9" s="244" customFormat="1" ht="18" customHeight="1">
      <c r="A2" s="245" t="s">
        <v>2331</v>
      </c>
      <c r="B2" s="246">
        <f ca="1">IF(D2="——",C52,C52-E2)</f>
        <v>166200</v>
      </c>
      <c r="C2" s="243" t="s">
        <v>2332</v>
      </c>
      <c r="D2" s="2546" t="s">
        <v>70</v>
      </c>
      <c r="E2" s="1439"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20815</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77660</v>
      </c>
      <c r="D5" s="255" t="s">
        <v>2338</v>
      </c>
      <c r="E5" s="256" t="s">
        <v>2339</v>
      </c>
      <c r="F5" s="256" t="s">
        <v>2340</v>
      </c>
      <c r="G5" s="257"/>
    </row>
    <row r="6" spans="1:9" s="258" customFormat="1" ht="13.5" customHeight="1">
      <c r="A6" s="948" t="s">
        <v>2341</v>
      </c>
      <c r="B6" s="259" t="s">
        <v>2342</v>
      </c>
      <c r="C6" s="260">
        <f ca="1">基准地价修正办公!C26+基准地价修正商业!C26</f>
        <v>75361</v>
      </c>
      <c r="D6" s="261"/>
      <c r="E6" s="262"/>
      <c r="F6" s="262"/>
      <c r="G6" s="263"/>
    </row>
    <row r="7" spans="1:9" s="258" customFormat="1" ht="13.5" customHeight="1">
      <c r="A7" s="948" t="s">
        <v>2343</v>
      </c>
      <c r="B7" s="259" t="s">
        <v>2344</v>
      </c>
      <c r="C7" s="264">
        <f ca="1">ROUND(C6*F7,0)</f>
        <v>2299</v>
      </c>
      <c r="D7" s="264"/>
      <c r="E7" s="262"/>
      <c r="F7" s="265">
        <f>'数据-取费表'!B48+'数据-取费表'!B49</f>
        <v>3.0499999999999999E-2</v>
      </c>
      <c r="G7" s="263"/>
    </row>
    <row r="8" spans="1:9" s="267" customFormat="1">
      <c r="A8" s="948" t="s">
        <v>2345</v>
      </c>
      <c r="B8" s="259" t="s">
        <v>2346</v>
      </c>
      <c r="C8" s="264" t="str">
        <f>IF(G8="已包含在土地购买价格中","0",IF(B1="",'数据-取费表'!B29,IF(G9="全部缴纳",C9+C10,H9)))</f>
        <v>0</v>
      </c>
      <c r="D8" s="266"/>
      <c r="E8" s="264"/>
      <c r="F8" s="265"/>
      <c r="G8" s="2549" t="s">
        <v>1148</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160</v>
      </c>
      <c r="F9" s="265"/>
      <c r="G9" s="2550" t="s">
        <v>3679</v>
      </c>
      <c r="H9" s="1389"/>
      <c r="I9" s="2551" t="s">
        <v>2348</v>
      </c>
    </row>
    <row r="10" spans="1:9" s="258" customFormat="1" ht="13.5" customHeight="1">
      <c r="A10" s="949" t="s">
        <v>801</v>
      </c>
      <c r="B10" s="268" t="s">
        <v>2349</v>
      </c>
      <c r="C10" s="269">
        <f ca="1">ROUND(D10*E10/10000,0)</f>
        <v>1597</v>
      </c>
      <c r="D10" s="1031">
        <f ca="1">IF(B1="",'数据-汇总表'!E6,IF(INDIRECT("'数据-取费表'!c"&amp;$G$1)="住宅",INDIRECT("'数据-取费表'!s"&amp;$G$1),INDIRECT("'数据-取费表'!k"&amp;$G$1)+INDIRECT("'数据-取费表'!s"&amp;$G$1)))</f>
        <v>79847.06</v>
      </c>
      <c r="E10" s="269">
        <f>'数据-取费表'!B28</f>
        <v>200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t="str">
        <f>IF(G19="已包含在土地取得成本中","0",ROUND(D19*E19/10000,0))</f>
        <v>0</v>
      </c>
      <c r="D19" s="1035">
        <f ca="1">D9+D10</f>
        <v>79847.06</v>
      </c>
      <c r="E19" s="255">
        <f>'数据-取费表'!B31</f>
        <v>200</v>
      </c>
      <c r="F19" s="275"/>
      <c r="G19" s="2549" t="s">
        <v>3936</v>
      </c>
    </row>
    <row r="20" spans="1:7" s="258" customFormat="1" ht="13.5" customHeight="1">
      <c r="A20" s="299" t="s">
        <v>2362</v>
      </c>
      <c r="B20" s="254" t="s">
        <v>2363</v>
      </c>
      <c r="C20" s="276">
        <f ca="1">ROUND((C5+C19)*F20,0)</f>
        <v>2330</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7263</v>
      </c>
      <c r="D22" s="279">
        <f ca="1">C26</f>
        <v>1.4E-3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7158</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0</v>
      </c>
      <c r="D24" s="282"/>
      <c r="E24" s="282"/>
      <c r="F24" s="283"/>
      <c r="G24" s="284" t="s">
        <v>2376</v>
      </c>
    </row>
    <row r="25" spans="1:7" s="258" customFormat="1" ht="24">
      <c r="A25" s="950" t="s">
        <v>2377</v>
      </c>
      <c r="B25" s="259" t="s">
        <v>2378</v>
      </c>
      <c r="C25" s="1354">
        <f ca="1">ROUND(IF('数据-取费表'!B22&lt;=1,C20*F22*'数据-取费表'!B23/2,C20*(POWER((1+F22),'数据-取费表'!B23/2)-1)),0)</f>
        <v>105</v>
      </c>
      <c r="D25" s="282"/>
      <c r="E25" s="285"/>
      <c r="F25" s="283"/>
      <c r="G25" s="286" t="s">
        <v>2379</v>
      </c>
    </row>
    <row r="26" spans="1:7" s="258" customFormat="1">
      <c r="A26" s="950"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18238</v>
      </c>
      <c r="D27" s="279">
        <f ca="1">C29</f>
        <v>6.7999999999999996E-3</v>
      </c>
      <c r="E27" s="280" t="s">
        <v>2383</v>
      </c>
      <c r="F27" s="290">
        <f ca="1">IF(B1="",'数据-取费表'!Q16,INDIRECT("'数据-取费表'!q"&amp;$G$1))</f>
        <v>0.24</v>
      </c>
      <c r="G27" s="291" t="s">
        <v>2384</v>
      </c>
    </row>
    <row r="28" spans="1:7" s="258" customFormat="1" ht="13.5" customHeight="1">
      <c r="A28" s="950" t="s">
        <v>791</v>
      </c>
      <c r="B28" s="292" t="s">
        <v>2385</v>
      </c>
      <c r="C28" s="293">
        <f ca="1">ROUND((C5+C19+C20)*F27*'数据-取费表'!B21/'数据-取费表'!B20,0)</f>
        <v>18238</v>
      </c>
      <c r="D28" s="279"/>
      <c r="E28" s="280"/>
      <c r="F28" s="290"/>
      <c r="G28" s="291"/>
    </row>
    <row r="29" spans="1:7" s="258" customFormat="1" ht="13.5" customHeight="1">
      <c r="A29" s="950" t="s">
        <v>792</v>
      </c>
      <c r="B29" s="292" t="s">
        <v>2386</v>
      </c>
      <c r="C29" s="282">
        <f ca="1">ROUND(C21*F27*'数据-取费表'!B21/'数据-取费表'!B20,4)</f>
        <v>6.7999999999999996E-3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116001</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34474</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31492</v>
      </c>
      <c r="D34" s="261"/>
      <c r="E34" s="264"/>
      <c r="F34" s="301">
        <f ca="1">IF('数据-取费表'!B24=0,1,IF(B1="",'数据-取费表'!N16,INDIRECT("'数据-取费表'!n"&amp;$G$1)))</f>
        <v>0.98</v>
      </c>
      <c r="G34" s="263" t="s">
        <v>2395</v>
      </c>
    </row>
    <row r="35" spans="1:7" ht="13.5" customHeight="1">
      <c r="A35" s="950" t="s">
        <v>796</v>
      </c>
      <c r="B35" s="259" t="s">
        <v>2396</v>
      </c>
      <c r="C35" s="264">
        <f ca="1">ROUND(C34*F35,0)</f>
        <v>945</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0" t="s">
        <v>798</v>
      </c>
      <c r="B37" s="259" t="s">
        <v>2400</v>
      </c>
      <c r="C37" s="293">
        <f ca="1">ROUND(E37*D37*F34/10000,0)</f>
        <v>1565</v>
      </c>
      <c r="D37" s="261">
        <f ca="1">D19</f>
        <v>79847.06</v>
      </c>
      <c r="E37" s="293">
        <f>'数据-取费表'!B35</f>
        <v>200</v>
      </c>
      <c r="F37" s="303"/>
      <c r="G37" s="305" t="s">
        <v>2401</v>
      </c>
    </row>
    <row r="38" spans="1:7" ht="13.5" customHeight="1">
      <c r="A38" s="950" t="s">
        <v>799</v>
      </c>
      <c r="B38" s="259" t="s">
        <v>2402</v>
      </c>
      <c r="C38" s="264">
        <f ca="1">ROUND(C34*F38,0)</f>
        <v>472</v>
      </c>
      <c r="D38" s="264"/>
      <c r="E38" s="264"/>
      <c r="F38" s="303">
        <f>'数据-取费表'!B36</f>
        <v>1.4999999999999999E-2</v>
      </c>
      <c r="G38" s="263" t="s">
        <v>2397</v>
      </c>
    </row>
    <row r="39" spans="1:7" s="258" customFormat="1" ht="13.5" customHeight="1">
      <c r="A39" s="299" t="s">
        <v>2403</v>
      </c>
      <c r="B39" s="254" t="s">
        <v>2404</v>
      </c>
      <c r="C39" s="276">
        <f ca="1">ROUND(C33*F20,0)</f>
        <v>1034</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1601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1554</v>
      </c>
      <c r="D42" s="282"/>
      <c r="E42" s="282"/>
      <c r="F42" s="283"/>
      <c r="G42" s="3895" t="s">
        <v>2413</v>
      </c>
    </row>
    <row r="43" spans="1:7" ht="13.5" customHeight="1">
      <c r="A43" s="950" t="s">
        <v>792</v>
      </c>
      <c r="B43" s="259" t="s">
        <v>2414</v>
      </c>
      <c r="C43" s="282">
        <f ca="1">ROUND(IF('数据-取费表'!B22&lt;=1,C39*F22*'数据-取费表'!B21/2,C39*(POWER((1+F22),'数据-取费表'!B21/2)-1)),0)</f>
        <v>47</v>
      </c>
      <c r="D43" s="282"/>
      <c r="E43" s="282"/>
      <c r="F43" s="283"/>
      <c r="G43" s="3896"/>
    </row>
    <row r="44" spans="1:7" ht="13.5" customHeight="1">
      <c r="A44" s="950" t="s">
        <v>793</v>
      </c>
      <c r="B44" s="259" t="s">
        <v>2415</v>
      </c>
      <c r="C44" s="282">
        <f ca="1">ROUND(IF('数据-取费表'!B22&lt;=1,C40*F22*'数据-取费表'!B21/2,C40*(POWER((1+F22),'数据-取费表'!B21/2)-1)),4)</f>
        <v>1.4E-3</v>
      </c>
      <c r="D44" s="282"/>
      <c r="E44" s="282"/>
      <c r="F44" s="283"/>
      <c r="G44" s="3897"/>
    </row>
    <row r="45" spans="1:7" s="258" customFormat="1" ht="13.5" customHeight="1">
      <c r="A45" s="299" t="s">
        <v>2416</v>
      </c>
      <c r="B45" s="288" t="s">
        <v>2382</v>
      </c>
      <c r="C45" s="289">
        <f ca="1">C46</f>
        <v>8522</v>
      </c>
      <c r="D45" s="279">
        <f ca="1">C47</f>
        <v>7.1999999999999998E-3</v>
      </c>
      <c r="E45" s="280" t="s">
        <v>2408</v>
      </c>
      <c r="F45" s="290"/>
      <c r="G45" s="291" t="s">
        <v>2417</v>
      </c>
    </row>
    <row r="46" spans="1:7" s="258" customFormat="1" ht="13.5" customHeight="1">
      <c r="A46" s="950" t="s">
        <v>791</v>
      </c>
      <c r="B46" s="292" t="s">
        <v>2418</v>
      </c>
      <c r="C46" s="293">
        <f ca="1">ROUND((C33+C39)*F27,0)</f>
        <v>8522</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1728">
        <f>ROUND(F30/(1+'数据-取费表'!C42),4)</f>
        <v>5.2400000000000002E-2</v>
      </c>
      <c r="D48" s="280" t="s">
        <v>2408</v>
      </c>
      <c r="E48" s="276"/>
      <c r="F48" s="281"/>
      <c r="G48" s="278" t="s">
        <v>2421</v>
      </c>
    </row>
    <row r="49" spans="1:7" ht="16.5" customHeight="1">
      <c r="A49" s="299" t="s">
        <v>2387</v>
      </c>
      <c r="B49" s="254" t="s">
        <v>2422</v>
      </c>
      <c r="C49" s="276">
        <f ca="1">ROUND((C33+C39+C41+C45)/(1-C40-D41-D45-C48),0)</f>
        <v>50199</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50199</v>
      </c>
      <c r="D51" s="276"/>
      <c r="E51" s="276"/>
      <c r="F51" s="308"/>
      <c r="G51" s="278" t="s">
        <v>2429</v>
      </c>
    </row>
    <row r="52" spans="1:7" s="252" customFormat="1" ht="16.5" thickBot="1">
      <c r="A52" s="309" t="s">
        <v>2430</v>
      </c>
      <c r="B52" s="310"/>
      <c r="C52" s="311">
        <f ca="1">C31+C51</f>
        <v>166200</v>
      </c>
      <c r="D52" s="310"/>
      <c r="E52" s="310"/>
      <c r="F52" s="310"/>
      <c r="G52" s="312"/>
    </row>
    <row r="55" spans="1:7" ht="15">
      <c r="B55" s="314" t="s">
        <v>2431</v>
      </c>
      <c r="C55" s="315"/>
    </row>
    <row r="56" spans="1:7">
      <c r="B56" s="317" t="s">
        <v>1515</v>
      </c>
      <c r="C56" s="319">
        <f ca="1">1-C57</f>
        <v>0.69799999999999995</v>
      </c>
    </row>
    <row r="57" spans="1:7">
      <c r="B57" s="317" t="s">
        <v>1516</v>
      </c>
      <c r="C57" s="318">
        <f ca="1">ROUND(C51/C52,3)</f>
        <v>0.30199999999999999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2" t="s">
        <v>2432</v>
      </c>
      <c r="D1" s="242"/>
      <c r="E1" s="242"/>
      <c r="F1" s="242"/>
      <c r="G1" s="1378">
        <f>MATCH(B1,'数据-取费表'!A6:A16,0)+5</f>
        <v>10</v>
      </c>
      <c r="H1" s="1281" t="str">
        <f>IF(ISERROR(FIND("住宅",B1)),"非住宅","住宅")</f>
        <v>非住宅</v>
      </c>
    </row>
    <row r="2" spans="1:8" s="244" customFormat="1" ht="18" customHeight="1">
      <c r="A2" s="245" t="s">
        <v>2331</v>
      </c>
      <c r="B2" s="246">
        <f ca="1">ROUND(IF(D2="——",C52/10000,C52/10000-E2),0)</f>
        <v>56157</v>
      </c>
      <c r="C2" s="243" t="s">
        <v>2332</v>
      </c>
      <c r="D2" s="2546" t="s">
        <v>70</v>
      </c>
      <c r="E2" s="1439"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7033</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15969412</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15969412</v>
      </c>
      <c r="D8" s="266"/>
      <c r="E8" s="264"/>
      <c r="F8" s="265"/>
      <c r="G8" s="2549"/>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2349</v>
      </c>
      <c r="C10" s="269">
        <f ca="1">ROUND(D10*E10,0)</f>
        <v>15969412</v>
      </c>
      <c r="D10" s="1031">
        <f ca="1">IF(B1="",'数据-汇总表'!E6,IF(INDIRECT("'数据-取费表'!c"&amp;$G$1)="住宅",INDIRECT("'数据-取费表'!s"&amp;$G$1),INDIRECT("'数据-取费表'!k"&amp;$G$1)+INDIRECT("'数据-取费表'!s"&amp;$G$1)))</f>
        <v>79847.06</v>
      </c>
      <c r="E10" s="269">
        <f>'数据-取费表'!B28</f>
        <v>200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15969412</v>
      </c>
      <c r="D19" s="1035">
        <f ca="1">D9+D10</f>
        <v>79847.06</v>
      </c>
      <c r="E19" s="255">
        <f>'数据-取费表'!B31</f>
        <v>200</v>
      </c>
      <c r="F19" s="275"/>
      <c r="G19" s="2549"/>
    </row>
    <row r="20" spans="1:7" s="258" customFormat="1" ht="13.5" customHeight="1">
      <c r="A20" s="299" t="s">
        <v>2443</v>
      </c>
      <c r="B20" s="254" t="s">
        <v>2444</v>
      </c>
      <c r="C20" s="276">
        <f ca="1">ROUND((C5+C19)*F20,0)</f>
        <v>958165</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79">
        <f ca="1">ROUND(SUM(C23:C25),0)</f>
        <v>3151763</v>
      </c>
      <c r="D22" s="279">
        <f ca="1">C26</f>
        <v>1.4E-3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1553125</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1553125</v>
      </c>
      <c r="D24" s="282"/>
      <c r="E24" s="282"/>
      <c r="F24" s="283"/>
      <c r="G24" s="284" t="s">
        <v>2455</v>
      </c>
    </row>
    <row r="25" spans="1:7" s="258" customFormat="1" ht="24">
      <c r="A25" s="950" t="s">
        <v>2345</v>
      </c>
      <c r="B25" s="259" t="s">
        <v>2456</v>
      </c>
      <c r="C25" s="1380">
        <f ca="1">ROUND(IF('数据-取费表'!B22&lt;=1,C20*F22*'数据-取费表'!B22/2,C20*(POWER((1+F22),'数据-取费表'!B22/2)-1)),0)</f>
        <v>45513</v>
      </c>
      <c r="D25" s="282"/>
      <c r="E25" s="285"/>
      <c r="F25" s="283"/>
      <c r="G25" s="286" t="s">
        <v>2457</v>
      </c>
    </row>
    <row r="26" spans="1:7" s="258" customFormat="1">
      <c r="A26" s="950"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7895277</v>
      </c>
      <c r="D27" s="279">
        <f ca="1">C29</f>
        <v>7.1999999999999998E-3</v>
      </c>
      <c r="E27" s="280" t="s">
        <v>2383</v>
      </c>
      <c r="F27" s="290">
        <f ca="1">IF(B1="",'数据-取费表'!Q16,INDIRECT("'数据-取费表'!q"&amp;$G$1))</f>
        <v>0.24</v>
      </c>
      <c r="G27" s="291" t="s">
        <v>2384</v>
      </c>
    </row>
    <row r="28" spans="1:7" s="258" customFormat="1" ht="13.5" customHeight="1">
      <c r="A28" s="950" t="s">
        <v>791</v>
      </c>
      <c r="B28" s="292" t="s">
        <v>2385</v>
      </c>
      <c r="C28" s="293">
        <f ca="1">ROUND((C5+C19+C20)*F27,0)</f>
        <v>7895277</v>
      </c>
      <c r="D28" s="279"/>
      <c r="E28" s="280"/>
      <c r="F28" s="290"/>
      <c r="G28" s="291"/>
    </row>
    <row r="29" spans="1:7" s="258" customFormat="1" ht="13.5" customHeight="1">
      <c r="A29" s="950" t="s">
        <v>792</v>
      </c>
      <c r="B29" s="292" t="s">
        <v>2386</v>
      </c>
      <c r="C29" s="282">
        <f ca="1">ROUND(C21*F27,4)</f>
        <v>7.1999999999999998E-3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48343266</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351791746</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321361085</v>
      </c>
      <c r="D34" s="261"/>
      <c r="E34" s="264"/>
      <c r="F34" s="301"/>
      <c r="G34" s="263"/>
    </row>
    <row r="35" spans="1:7" ht="13.5" customHeight="1">
      <c r="A35" s="950" t="s">
        <v>796</v>
      </c>
      <c r="B35" s="259" t="s">
        <v>2396</v>
      </c>
      <c r="C35" s="264">
        <f ca="1">ROUND(C34*F35,0)</f>
        <v>9640833</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0" t="s">
        <v>798</v>
      </c>
      <c r="B37" s="259" t="s">
        <v>2400</v>
      </c>
      <c r="C37" s="293">
        <f ca="1">ROUND(E37*D37,0)</f>
        <v>15969412</v>
      </c>
      <c r="D37" s="261">
        <f ca="1">D19</f>
        <v>79847.06</v>
      </c>
      <c r="E37" s="293">
        <f>'数据-取费表'!B35</f>
        <v>200</v>
      </c>
      <c r="F37" s="303"/>
      <c r="G37" s="305"/>
    </row>
    <row r="38" spans="1:7" ht="13.5" customHeight="1">
      <c r="A38" s="950" t="s">
        <v>799</v>
      </c>
      <c r="B38" s="259" t="s">
        <v>2402</v>
      </c>
      <c r="C38" s="264">
        <f ca="1">ROUND(C34*F38,0)</f>
        <v>4820416</v>
      </c>
      <c r="D38" s="264"/>
      <c r="E38" s="264"/>
      <c r="F38" s="303">
        <f>'数据-取费表'!B36</f>
        <v>1.4999999999999999E-2</v>
      </c>
      <c r="G38" s="263" t="s">
        <v>2397</v>
      </c>
    </row>
    <row r="39" spans="1:7" s="258" customFormat="1" ht="13.5" customHeight="1">
      <c r="A39" s="299" t="s">
        <v>2403</v>
      </c>
      <c r="B39" s="254" t="s">
        <v>2404</v>
      </c>
      <c r="C39" s="276">
        <f ca="1">ROUND(C33*F20,0)</f>
        <v>10553752</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17211411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16710108</v>
      </c>
      <c r="D42" s="282"/>
      <c r="E42" s="282"/>
      <c r="F42" s="283"/>
      <c r="G42" s="3895" t="s">
        <v>2460</v>
      </c>
    </row>
    <row r="43" spans="1:7" ht="13.5" customHeight="1">
      <c r="A43" s="950" t="s">
        <v>792</v>
      </c>
      <c r="B43" s="259" t="s">
        <v>2414</v>
      </c>
      <c r="C43" s="282">
        <f ca="1">ROUND(IF('数据-取费表'!B22&lt;=1,C39*F22*'数据-取费表'!B20/2,C39*(POWER((1+F22),'数据-取费表'!B20/2)-1)),0)</f>
        <v>501303</v>
      </c>
      <c r="D43" s="282"/>
      <c r="E43" s="282"/>
      <c r="F43" s="283"/>
      <c r="G43" s="3896"/>
    </row>
    <row r="44" spans="1:7" ht="13.5" customHeight="1">
      <c r="A44" s="950" t="s">
        <v>793</v>
      </c>
      <c r="B44" s="259" t="s">
        <v>2415</v>
      </c>
      <c r="C44" s="282">
        <f ca="1">ROUND(IF('数据-取费表'!B22&lt;=1,C40*F22*'数据-取费表'!B20/2,C40*(POWER((1+F22),'数据-取费表'!B20/2)-1)),4)</f>
        <v>1.4E-3</v>
      </c>
      <c r="D44" s="282"/>
      <c r="E44" s="282"/>
      <c r="F44" s="283"/>
      <c r="G44" s="3897"/>
    </row>
    <row r="45" spans="1:7" s="258" customFormat="1" ht="13.5" customHeight="1">
      <c r="A45" s="299" t="s">
        <v>2416</v>
      </c>
      <c r="B45" s="288" t="s">
        <v>2382</v>
      </c>
      <c r="C45" s="289">
        <f ca="1">C46</f>
        <v>86962920</v>
      </c>
      <c r="D45" s="279">
        <f ca="1">C47</f>
        <v>7.1999999999999998E-3</v>
      </c>
      <c r="E45" s="280" t="s">
        <v>2408</v>
      </c>
      <c r="F45" s="290"/>
      <c r="G45" s="291" t="s">
        <v>2417</v>
      </c>
    </row>
    <row r="46" spans="1:7" s="258" customFormat="1" ht="13.5" customHeight="1">
      <c r="A46" s="950" t="s">
        <v>791</v>
      </c>
      <c r="B46" s="292" t="s">
        <v>2418</v>
      </c>
      <c r="C46" s="293">
        <f ca="1">ROUND((C33+C39)*F27,0)</f>
        <v>86962920</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513223134</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513223134</v>
      </c>
      <c r="D51" s="276"/>
      <c r="E51" s="276"/>
      <c r="F51" s="308"/>
      <c r="G51" s="278" t="s">
        <v>2429</v>
      </c>
    </row>
    <row r="52" spans="1:7" s="252" customFormat="1" ht="16.5" thickBot="1">
      <c r="A52" s="309" t="s">
        <v>2430</v>
      </c>
      <c r="B52" s="310"/>
      <c r="C52" s="311">
        <f ca="1">C31+C51</f>
        <v>561566400</v>
      </c>
      <c r="D52" s="310"/>
      <c r="E52" s="310"/>
      <c r="F52" s="310"/>
      <c r="G52" s="312"/>
    </row>
    <row r="55" spans="1:7" ht="15">
      <c r="B55" s="314" t="s">
        <v>2431</v>
      </c>
      <c r="C55" s="315"/>
    </row>
    <row r="56" spans="1:7">
      <c r="B56" s="317" t="s">
        <v>1515</v>
      </c>
      <c r="C56" s="319">
        <f ca="1">1-C57</f>
        <v>8.5999999999999965E-2</v>
      </c>
    </row>
    <row r="57" spans="1:7">
      <c r="B57" s="317" t="s">
        <v>1516</v>
      </c>
      <c r="C57" s="318">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K42" sqref="K4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61180.020000000004</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65864</v>
      </c>
      <c r="C2" s="2720" t="s">
        <v>2814</v>
      </c>
      <c r="D2" s="2721" t="s">
        <v>2815</v>
      </c>
      <c r="E2" s="2722" t="s">
        <v>27</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24781</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10766</v>
      </c>
      <c r="C3" s="2720" t="s">
        <v>2820</v>
      </c>
      <c r="D3" s="2721" t="s">
        <v>2821</v>
      </c>
      <c r="E3" s="2726" t="s">
        <v>3067</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17788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01"/>
      <c r="B4" s="3902"/>
      <c r="C4" s="3902"/>
      <c r="D4" s="3903"/>
      <c r="E4" s="3903"/>
      <c r="F4" s="3903"/>
      <c r="G4" s="3903"/>
      <c r="H4" s="3903"/>
      <c r="I4" s="3903"/>
      <c r="J4" s="3904"/>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14351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9750</v>
      </c>
      <c r="D5" s="1787">
        <f>ROUND(IF(E2="商业",IF(F16="增加",C6+C16,C6-C16)),0)</f>
        <v>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11515</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9750</v>
      </c>
      <c r="D6" s="2740" t="s">
        <v>2830</v>
      </c>
      <c r="E6" s="2741"/>
      <c r="F6" s="2741"/>
      <c r="G6" s="2742"/>
      <c r="H6" s="2742"/>
      <c r="I6" s="2742"/>
      <c r="J6" s="2743"/>
      <c r="K6" s="1842"/>
      <c r="L6" s="2725" t="s">
        <v>2831</v>
      </c>
      <c r="M6" s="1080">
        <f>SUMPRODUCT((区片价!B110:B157=I2)*(区片价!C3:F3=E2)*(区片价!C110:F157))</f>
        <v>9750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9805</v>
      </c>
      <c r="U6" s="1603"/>
      <c r="V6" s="1602">
        <f t="shared" ca="1" si="1"/>
        <v>0</v>
      </c>
      <c r="W6" s="1606"/>
      <c r="X6" s="1606"/>
      <c r="Y6" s="1606"/>
      <c r="Z6" s="1606"/>
      <c r="AA6" s="1606"/>
      <c r="AB6" s="1606"/>
      <c r="AC6" s="2734"/>
      <c r="AD6" s="2735"/>
      <c r="AE6" s="2735"/>
      <c r="AF6" s="2735"/>
      <c r="AG6" s="2735"/>
      <c r="AH6" s="2735"/>
      <c r="AI6" s="2735"/>
      <c r="AJ6" s="2736"/>
    </row>
    <row r="7" spans="1:36" ht="24">
      <c r="A7" s="3905"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8623</v>
      </c>
      <c r="U7" s="1603"/>
      <c r="V7" s="1602">
        <f t="shared" ca="1" si="1"/>
        <v>0</v>
      </c>
      <c r="W7" s="1816" t="s">
        <v>2835</v>
      </c>
      <c r="X7" s="1604" t="str">
        <f>G2</f>
        <v>六级</v>
      </c>
      <c r="Y7" s="1604" t="s">
        <v>2836</v>
      </c>
      <c r="Z7" s="1605">
        <f>G3</f>
        <v>4.7</v>
      </c>
      <c r="AA7" s="1606"/>
      <c r="AB7" s="1606"/>
      <c r="AC7" s="1607"/>
      <c r="AD7" s="1608"/>
      <c r="AE7" s="1608"/>
      <c r="AF7" s="1608"/>
      <c r="AG7" s="1608"/>
      <c r="AH7" s="1608"/>
      <c r="AI7" s="1608"/>
      <c r="AJ7" s="1609"/>
    </row>
    <row r="8" spans="1:36" ht="25.5">
      <c r="A8" s="3906"/>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898" t="s">
        <v>2840</v>
      </c>
      <c r="X8" s="3899"/>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06"/>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00"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06"/>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06"/>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00" t="s">
        <v>2864</v>
      </c>
      <c r="X11" s="1614" t="s">
        <v>2865</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905"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00"/>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07"/>
      <c r="B13" s="2763" t="s">
        <v>2871</v>
      </c>
      <c r="C13" s="2764" t="s">
        <v>2872</v>
      </c>
      <c r="D13" s="1808" t="s">
        <v>2873</v>
      </c>
      <c r="E13" s="1808"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00"/>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07"/>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08"/>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905" t="s">
        <v>2883</v>
      </c>
      <c r="B16" s="2744" t="s">
        <v>2884</v>
      </c>
      <c r="C16" s="1801">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06"/>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0.95340000000000003</v>
      </c>
      <c r="D20" s="2805" t="s">
        <v>2898</v>
      </c>
      <c r="E20" s="1768">
        <f ca="1">存贷款利率!D4/100</f>
        <v>4.3499999999999997E-2</v>
      </c>
      <c r="F20" s="2805" t="s">
        <v>2890</v>
      </c>
      <c r="G20" s="933">
        <f ca="1">SUMIF(M15:P15,E2,M17:P17)</f>
        <v>5.1999999999999998E-2</v>
      </c>
      <c r="H20" s="2805" t="s">
        <v>2899</v>
      </c>
      <c r="I20" s="934">
        <f>SUMIF('数据-取费表'!C6:C15,E2,'数据-取费表'!F6:F15)/COUNTIF('数据-取费表'!C6:C15,E2)</f>
        <v>41.47</v>
      </c>
      <c r="J20" s="935">
        <f>IF(E2="住宅",70,IF(E2="商业",40,50))</f>
        <v>50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936">
        <f>IF(B21="容积率修正",IF(G3&lt;=10,D22,J22),C23)</f>
        <v>0.83160000000000001</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1810" t="s">
        <v>2907</v>
      </c>
      <c r="D22" s="1810">
        <f>IF(E22=G22,F22,IF(G3&lt;=10,ROUND(F22+(H22-F22)*(G3-E22)/(G22-E22),4),"——"))</f>
        <v>0.83160000000000001</v>
      </c>
      <c r="E22" s="912">
        <f>ROUNDDOWN(G3,1)</f>
        <v>4.7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0.83160000000000001</v>
      </c>
      <c r="G22" s="912">
        <f>ROUNDUP(G3,1)</f>
        <v>4.7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1810"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1.1114999999999999</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65864</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11062</v>
      </c>
      <c r="D29" s="2844">
        <f>'数据-汇总表'!F19</f>
        <v>58835.540000000008</v>
      </c>
      <c r="E29" s="941">
        <f ca="1">ROUND(C29*D29/10000,0)</f>
        <v>65084</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2766</v>
      </c>
      <c r="D30" s="2850"/>
      <c r="E30" s="941">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15" t="s">
        <v>2930</v>
      </c>
      <c r="B33" s="2860" t="s">
        <v>2931</v>
      </c>
      <c r="C33" s="206">
        <f ca="1">ROUND(D5*C19*C20*C24*F33,0)</f>
        <v>0</v>
      </c>
      <c r="D33" s="3651"/>
      <c r="E33" s="200">
        <f ca="1">ROUND(C33*D33/10000,0)</f>
        <v>0</v>
      </c>
      <c r="F33" s="200">
        <f>SUMIF(修正!A45:A56,G2,修正!B45:B56)</f>
        <v>0.7</v>
      </c>
      <c r="G33" s="200">
        <f t="shared" ref="G33:G39" ca="1" si="6">ROUND(IF(E2="工业",C33*$M$39,C33*$M$38),0)</f>
        <v>0</v>
      </c>
      <c r="H33" s="200">
        <f>D33</f>
        <v>0</v>
      </c>
      <c r="I33" s="200">
        <f ca="1">ROUND(G33*H33/10000,0)</f>
        <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16"/>
      <c r="B34" s="2764" t="s">
        <v>2932</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16"/>
      <c r="B35" s="2764" t="s">
        <v>2933</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17"/>
      <c r="B36" s="2764" t="s">
        <v>2934</v>
      </c>
      <c r="C36" s="206">
        <f ca="1">ROUND(D5*C19*C20*C24*F36,0)</f>
        <v>0</v>
      </c>
      <c r="D36" s="2844"/>
      <c r="E36" s="200">
        <f t="shared" ca="1" si="7"/>
        <v>0</v>
      </c>
      <c r="F36" s="200">
        <f>SUMIF(修正!A45:A56,G2,修正!E45:E56)</f>
        <v>0.25</v>
      </c>
      <c r="G36" s="200">
        <f t="shared" ca="1" si="6"/>
        <v>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3326</v>
      </c>
      <c r="D37" s="2844"/>
      <c r="E37" s="200">
        <f t="shared" ca="1" si="7"/>
        <v>0</v>
      </c>
      <c r="F37" s="206">
        <f>SUMIF(修正!A45:A56,G2,修正!F45:F56)</f>
        <v>0.25</v>
      </c>
      <c r="G37" s="200">
        <f t="shared" ca="1" si="6"/>
        <v>832</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3326</v>
      </c>
      <c r="D38" s="2844">
        <f>'数据-汇总表'!G21</f>
        <v>2344.4799999999996</v>
      </c>
      <c r="E38" s="200">
        <f t="shared" ca="1" si="7"/>
        <v>780</v>
      </c>
      <c r="F38" s="206">
        <f>SUMIF(修正!A45:A56,G2,修正!G45:G56)</f>
        <v>0.25</v>
      </c>
      <c r="G38" s="200">
        <f t="shared" ca="1" si="6"/>
        <v>832</v>
      </c>
      <c r="H38" s="200">
        <f t="shared" si="8"/>
        <v>2344.4799999999996</v>
      </c>
      <c r="I38" s="200">
        <f t="shared" ca="1" si="9"/>
        <v>195</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2661</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1809" t="s">
        <v>2943</v>
      </c>
      <c r="C47" s="1809" t="s">
        <v>2944</v>
      </c>
      <c r="D47" s="1809" t="s">
        <v>2945</v>
      </c>
      <c r="E47" s="815" t="s">
        <v>2946</v>
      </c>
      <c r="F47" s="2878" t="s">
        <v>2947</v>
      </c>
      <c r="G47" s="1809" t="s">
        <v>754</v>
      </c>
      <c r="H47" s="2879" t="s">
        <v>2948</v>
      </c>
      <c r="I47" s="1809"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2953</v>
      </c>
      <c r="B51" s="2882" t="s">
        <v>2954</v>
      </c>
      <c r="C51" s="2769"/>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2956</v>
      </c>
      <c r="B53" s="2883" t="s">
        <v>2957</v>
      </c>
      <c r="C53" s="2769"/>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2961</v>
      </c>
      <c r="B57" s="2874">
        <f>1+E59</f>
        <v>1.1114999999999999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1809"/>
      <c r="C58" s="1809" t="s">
        <v>2944</v>
      </c>
      <c r="D58" s="1809" t="s">
        <v>2945</v>
      </c>
      <c r="E58" s="815" t="s">
        <v>2946</v>
      </c>
      <c r="F58" s="2878" t="s">
        <v>2962</v>
      </c>
      <c r="G58" s="1809" t="s">
        <v>754</v>
      </c>
      <c r="H58" s="2879" t="s">
        <v>2948</v>
      </c>
      <c r="I58" s="1809"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0.1115</v>
      </c>
      <c r="F59" s="2500">
        <f>IF(E2="办公",SUMIF(L1:L12,G2,N1:N12),"——")</f>
        <v>0.126</v>
      </c>
      <c r="G59" s="1283">
        <v>1.5100000000000001E-2</v>
      </c>
      <c r="H59" s="1287">
        <f t="shared" ref="H59:H67" si="16">IFERROR(ROUNDDOWN($F$59*I59/2,4),"——")</f>
        <v>1.5100000000000001E-2</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f t="shared" si="16"/>
        <v>1.89E-2</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f t="shared" si="16"/>
        <v>5.0000000000000001E-3</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f t="shared" si="16"/>
        <v>2.5000000000000001E-3</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3205</v>
      </c>
      <c r="D63" s="1285">
        <f t="shared" si="15"/>
        <v>3.0999999999999999E-3</v>
      </c>
      <c r="E63" s="818"/>
      <c r="F63" s="2500"/>
      <c r="G63" s="1283">
        <v>3.0999999999999999E-3</v>
      </c>
      <c r="H63" s="1287">
        <f t="shared" si="16"/>
        <v>3.0999999999999999E-3</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3205</v>
      </c>
      <c r="D64" s="1285">
        <f t="shared" si="15"/>
        <v>3.0999999999999999E-3</v>
      </c>
      <c r="E64" s="818"/>
      <c r="F64" s="2500"/>
      <c r="G64" s="1283">
        <v>3.0999999999999999E-3</v>
      </c>
      <c r="H64" s="1287">
        <f t="shared" si="16"/>
        <v>3.0999999999999999E-3</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f t="shared" si="16"/>
        <v>3.7000000000000002E-3</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f t="shared" si="16"/>
        <v>7.4999999999999997E-3</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f t="shared" si="16"/>
        <v>3.7000000000000002E-3</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1809"/>
      <c r="C69" s="1809" t="s">
        <v>2944</v>
      </c>
      <c r="D69" s="1809" t="s">
        <v>2945</v>
      </c>
      <c r="E69" s="815" t="s">
        <v>2946</v>
      </c>
      <c r="F69" s="2878" t="s">
        <v>2962</v>
      </c>
      <c r="G69" s="1809" t="s">
        <v>754</v>
      </c>
      <c r="H69" s="2879" t="s">
        <v>2948</v>
      </c>
      <c r="I69" s="1809"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1809"/>
      <c r="C80" s="1809" t="s">
        <v>2944</v>
      </c>
      <c r="D80" s="1809" t="s">
        <v>2945</v>
      </c>
      <c r="E80" s="815" t="s">
        <v>2946</v>
      </c>
      <c r="F80" s="2878" t="s">
        <v>2962</v>
      </c>
      <c r="G80" s="1809" t="s">
        <v>754</v>
      </c>
      <c r="H80" s="2879" t="s">
        <v>2948</v>
      </c>
      <c r="I80" s="1809"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9" t="s">
        <v>2972</v>
      </c>
      <c r="B90" s="3909"/>
      <c r="C90" s="3909"/>
      <c r="D90" s="3909"/>
      <c r="E90" s="3909"/>
      <c r="F90" s="3909"/>
      <c r="G90" s="3909"/>
      <c r="H90" s="3909"/>
      <c r="I90" s="3909"/>
      <c r="J90" s="3909"/>
      <c r="K90" s="2891"/>
      <c r="L90" s="2891"/>
      <c r="M90" s="2891"/>
      <c r="N90" s="2891"/>
    </row>
    <row r="91" spans="1:37">
      <c r="A91" s="3911" t="s">
        <v>2973</v>
      </c>
      <c r="B91" s="3911" t="s">
        <v>2974</v>
      </c>
      <c r="C91" s="2845" t="s">
        <v>2975</v>
      </c>
      <c r="D91" s="2846"/>
      <c r="E91" s="2846"/>
      <c r="F91" s="2846"/>
      <c r="G91" s="2846"/>
      <c r="H91" s="2846"/>
      <c r="I91" s="2846"/>
      <c r="J91" s="2892"/>
      <c r="K91" s="2893"/>
      <c r="L91" s="2893"/>
      <c r="M91" s="2893"/>
      <c r="N91" s="2893"/>
    </row>
    <row r="92" spans="1:37">
      <c r="A92" s="3911"/>
      <c r="B92" s="3911"/>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91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13"/>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1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12"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13"/>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13"/>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13"/>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13"/>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13"/>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13"/>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13"/>
      <c r="B108" s="3817"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14"/>
      <c r="B109" s="3818"/>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10" t="s">
        <v>2980</v>
      </c>
      <c r="B110" s="3910"/>
      <c r="C110" s="3910"/>
      <c r="D110" s="3910"/>
      <c r="E110" s="3910"/>
      <c r="F110" s="3910"/>
      <c r="G110" s="3910"/>
      <c r="H110" s="3910"/>
      <c r="I110" s="3910"/>
      <c r="J110" s="3910"/>
      <c r="K110" s="2900"/>
      <c r="L110" s="2900"/>
      <c r="M110" s="2900"/>
      <c r="N110" s="2900"/>
    </row>
    <row r="112" spans="1:14" ht="13.5" thickBot="1"/>
    <row r="113" spans="1:13" ht="25.5" thickBot="1">
      <c r="A113" s="899" t="s">
        <v>2981</v>
      </c>
      <c r="B113" s="1286">
        <f>G3</f>
        <v>4.7</v>
      </c>
      <c r="C113" s="900" t="s">
        <v>2982</v>
      </c>
      <c r="D113" s="901">
        <f>SUMPRODUCT((A115:A118=F113)*(B114:M114=H113)*B115:M118)</f>
        <v>0.79559999999999997</v>
      </c>
      <c r="E113" s="2723" t="s">
        <v>2815</v>
      </c>
      <c r="F113" s="2902" t="str">
        <f>E2</f>
        <v>办公</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73" priority="5" stopIfTrue="1" operator="notEqual">
      <formula>"——"</formula>
    </cfRule>
  </conditionalFormatting>
  <conditionalFormatting sqref="F59">
    <cfRule type="cellIs" dxfId="172" priority="4" stopIfTrue="1" operator="notEqual">
      <formula>"——"</formula>
    </cfRule>
  </conditionalFormatting>
  <conditionalFormatting sqref="F70">
    <cfRule type="cellIs" dxfId="171" priority="3" stopIfTrue="1" operator="notEqual">
      <formula>"——"</formula>
    </cfRule>
  </conditionalFormatting>
  <conditionalFormatting sqref="F81">
    <cfRule type="cellIs" dxfId="170" priority="2" stopIfTrue="1" operator="notEqual">
      <formula>"——"</formula>
    </cfRule>
  </conditionalFormatting>
  <conditionalFormatting sqref="H48:H56 H59:H67 H70:H78 H81:H88">
    <cfRule type="cellIs" dxfId="16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3" sqref="C33"/>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8937.25</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9497</v>
      </c>
      <c r="C2" s="2720" t="s">
        <v>2814</v>
      </c>
      <c r="D2" s="2721" t="s">
        <v>2815</v>
      </c>
      <c r="E2" s="2722" t="s">
        <v>1378</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26540</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10626</v>
      </c>
      <c r="C3" s="2720" t="s">
        <v>2820</v>
      </c>
      <c r="D3" s="2721" t="s">
        <v>2821</v>
      </c>
      <c r="E3" s="2726" t="s">
        <v>3934</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19051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01"/>
      <c r="B4" s="3902"/>
      <c r="C4" s="3902"/>
      <c r="D4" s="3903"/>
      <c r="E4" s="3903"/>
      <c r="F4" s="3903"/>
      <c r="G4" s="3903"/>
      <c r="H4" s="3903"/>
      <c r="I4" s="3903"/>
      <c r="J4" s="3904"/>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15369</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9820</v>
      </c>
      <c r="D5" s="1787">
        <f>ROUND(IF(E2="商业",IF(F16="增加",C6+C16,C6-C16)),0)</f>
        <v>9820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12332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9820</v>
      </c>
      <c r="D6" s="2740" t="s">
        <v>2830</v>
      </c>
      <c r="E6" s="2741"/>
      <c r="F6" s="2741"/>
      <c r="G6" s="2742"/>
      <c r="H6" s="2742"/>
      <c r="I6" s="2742"/>
      <c r="J6" s="2743"/>
      <c r="K6" s="1842"/>
      <c r="L6" s="2725" t="s">
        <v>2831</v>
      </c>
      <c r="M6" s="1080">
        <f>SUMPRODUCT((区片价!B110:B157=I2)*(区片价!C3:F3=E2)*(区片价!C110:F157))</f>
        <v>9820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10501</v>
      </c>
      <c r="U6" s="1603"/>
      <c r="V6" s="1602">
        <f t="shared" ca="1" si="1"/>
        <v>0</v>
      </c>
      <c r="W6" s="1606"/>
      <c r="X6" s="1606"/>
      <c r="Y6" s="1606"/>
      <c r="Z6" s="1606"/>
      <c r="AA6" s="1606"/>
      <c r="AB6" s="1606"/>
      <c r="AC6" s="2734"/>
      <c r="AD6" s="2735"/>
      <c r="AE6" s="2735"/>
      <c r="AF6" s="2735"/>
      <c r="AG6" s="2735"/>
      <c r="AH6" s="2735"/>
      <c r="AI6" s="2735"/>
      <c r="AJ6" s="2736"/>
    </row>
    <row r="7" spans="1:36" ht="24">
      <c r="A7" s="3905"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9235</v>
      </c>
      <c r="U7" s="1603"/>
      <c r="V7" s="1602">
        <f t="shared" ca="1" si="1"/>
        <v>0</v>
      </c>
      <c r="W7" s="3648" t="s">
        <v>2835</v>
      </c>
      <c r="X7" s="1604" t="str">
        <f>G2</f>
        <v>六级</v>
      </c>
      <c r="Y7" s="1604" t="s">
        <v>2836</v>
      </c>
      <c r="Z7" s="1605">
        <f>G3</f>
        <v>4.7</v>
      </c>
      <c r="AA7" s="1606"/>
      <c r="AB7" s="1606"/>
      <c r="AC7" s="1607"/>
      <c r="AD7" s="1608"/>
      <c r="AE7" s="1608"/>
      <c r="AF7" s="1608"/>
      <c r="AG7" s="1608"/>
      <c r="AH7" s="1608"/>
      <c r="AI7" s="1608"/>
      <c r="AJ7" s="1609"/>
    </row>
    <row r="8" spans="1:36" ht="25.5">
      <c r="A8" s="3906"/>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898" t="s">
        <v>2840</v>
      </c>
      <c r="X8" s="3899"/>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06"/>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00"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06"/>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06"/>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00" t="s">
        <v>2864</v>
      </c>
      <c r="X11" s="1614" t="s">
        <v>2836</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905"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00"/>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07"/>
      <c r="B13" s="2763" t="s">
        <v>2871</v>
      </c>
      <c r="C13" s="2764" t="s">
        <v>2872</v>
      </c>
      <c r="D13" s="3642" t="s">
        <v>2873</v>
      </c>
      <c r="E13" s="3642"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00"/>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07"/>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08"/>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905" t="s">
        <v>2883</v>
      </c>
      <c r="B16" s="2744" t="s">
        <v>2884</v>
      </c>
      <c r="C16" s="3643">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06"/>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1.1000000000000001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0.92120000000000002</v>
      </c>
      <c r="D20" s="2805" t="s">
        <v>2898</v>
      </c>
      <c r="E20" s="1768">
        <f ca="1">存贷款利率!D4/100</f>
        <v>4.3499999999999997E-2</v>
      </c>
      <c r="F20" s="2805" t="s">
        <v>2890</v>
      </c>
      <c r="G20" s="933">
        <f ca="1">SUMIF(M15:P15,E2,M17:P17)</f>
        <v>5.3999999999999999E-2</v>
      </c>
      <c r="H20" s="2805" t="s">
        <v>2899</v>
      </c>
      <c r="I20" s="934">
        <f>SUMIF('数据-取费表'!C6:C15,E2,'数据-取费表'!F6:F15)/COUNTIF('数据-取费表'!C6:C15,E2)</f>
        <v>31.46</v>
      </c>
      <c r="J20" s="935">
        <f>IF(E2="住宅",70,IF(E2="商业",40,50))</f>
        <v>40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3649">
        <f>IF(B21="容积率修正",IF(G3&lt;=10,D22,J22),C23)</f>
        <v>0.83279999999999998</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3644" t="s">
        <v>2907</v>
      </c>
      <c r="D22" s="3644">
        <f>IF(E22=G22,F22,IF(G3&lt;=10,ROUND(F22+(H22-F22)*(G3-E22)/(G22-E22),4),"——"))</f>
        <v>0.83279999999999998</v>
      </c>
      <c r="E22" s="912">
        <f>ROUNDDOWN(G3,1)</f>
        <v>4.7</v>
      </c>
      <c r="F22" s="364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0.83279999999999998</v>
      </c>
      <c r="G22" s="912">
        <f>ROUNDUP(G3,1)</f>
        <v>4.7</v>
      </c>
      <c r="H22" s="36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3644"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1.1120000000000001</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9497</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11865</v>
      </c>
      <c r="D29" s="2844">
        <f>'数据-基础表'!K14</f>
        <v>4980.1000000000004</v>
      </c>
      <c r="E29" s="3647">
        <f ca="1">ROUND(C29*D29/10000,0)</f>
        <v>5909</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2966</v>
      </c>
      <c r="D30" s="2850"/>
      <c r="E30" s="3647">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15" t="s">
        <v>2930</v>
      </c>
      <c r="B33" s="2860" t="s">
        <v>2931</v>
      </c>
      <c r="C33" s="206">
        <f ca="1">ROUND(D5*C19*C20*C24*F33,0)</f>
        <v>9066</v>
      </c>
      <c r="D33" s="3651">
        <f>'数据-基础表'!O16</f>
        <v>3957.15</v>
      </c>
      <c r="E33" s="200">
        <f ca="1">ROUND(C33*D33/10000,0)</f>
        <v>3588</v>
      </c>
      <c r="F33" s="200">
        <f>SUMIF(修正!A45:A56,G2,修正!B45:B56)</f>
        <v>0.7</v>
      </c>
      <c r="G33" s="200">
        <f t="shared" ref="G33:G39" ca="1" si="6">ROUND(IF(E2="工业",C33*$M$39,C33*$M$38),0)</f>
        <v>2267</v>
      </c>
      <c r="H33" s="200">
        <f>D33</f>
        <v>3957.15</v>
      </c>
      <c r="I33" s="200">
        <f ca="1">ROUND(G33*H33/10000,0)</f>
        <v>897</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16"/>
      <c r="B34" s="2764" t="s">
        <v>2932</v>
      </c>
      <c r="C34" s="206">
        <f ca="1">ROUND(D5*C19*C20*C24*F34,0)</f>
        <v>5181</v>
      </c>
      <c r="D34" s="2844"/>
      <c r="E34" s="200">
        <f t="shared" ref="E34:E39" ca="1" si="7">ROUND(C34*D34/10000,0)</f>
        <v>0</v>
      </c>
      <c r="F34" s="200">
        <f>SUMIF(修正!A45:A56,G2,修正!C45:C56)</f>
        <v>0.4</v>
      </c>
      <c r="G34" s="200">
        <f t="shared" ca="1" si="6"/>
        <v>1295</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16"/>
      <c r="B35" s="2764" t="s">
        <v>2933</v>
      </c>
      <c r="C35" s="206">
        <f ca="1">ROUND(D5*C19*C20*C24*F35,0)</f>
        <v>3626</v>
      </c>
      <c r="D35" s="2844"/>
      <c r="E35" s="200">
        <f t="shared" ca="1" si="7"/>
        <v>0</v>
      </c>
      <c r="F35" s="200">
        <f>SUMIF(修正!A45:A56,G2,修正!D45:D56)</f>
        <v>0.28000000000000003</v>
      </c>
      <c r="G35" s="200">
        <f t="shared" ca="1" si="6"/>
        <v>907</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17"/>
      <c r="B36" s="2764" t="s">
        <v>2934</v>
      </c>
      <c r="C36" s="206">
        <f ca="1">ROUND(D5*C19*C20*C24*F36,0)</f>
        <v>3238</v>
      </c>
      <c r="D36" s="2844"/>
      <c r="E36" s="200">
        <f t="shared" ca="1" si="7"/>
        <v>0</v>
      </c>
      <c r="F36" s="200">
        <f>SUMIF(修正!A45:A56,G2,修正!E45:E56)</f>
        <v>0.25</v>
      </c>
      <c r="G36" s="200">
        <f t="shared" ca="1" si="6"/>
        <v>810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3238</v>
      </c>
      <c r="D37" s="2844"/>
      <c r="E37" s="200">
        <f t="shared" ca="1" si="7"/>
        <v>0</v>
      </c>
      <c r="F37" s="206">
        <f>SUMIF(修正!A45:A56,G2,修正!F45:F56)</f>
        <v>0.25</v>
      </c>
      <c r="G37" s="200">
        <f t="shared" ca="1" si="6"/>
        <v>810</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3238</v>
      </c>
      <c r="D38" s="2844"/>
      <c r="E38" s="200">
        <f t="shared" ca="1" si="7"/>
        <v>0</v>
      </c>
      <c r="F38" s="206">
        <f>SUMIF(修正!A45:A56,G2,修正!G45:G56)</f>
        <v>0.25</v>
      </c>
      <c r="G38" s="200">
        <f t="shared" ca="1" si="6"/>
        <v>810</v>
      </c>
      <c r="H38" s="200">
        <f t="shared" si="8"/>
        <v>0</v>
      </c>
      <c r="I38" s="200">
        <f t="shared" ca="1" si="9"/>
        <v>0</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2590</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1.1120000000000001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3641" t="s">
        <v>2943</v>
      </c>
      <c r="C47" s="3641" t="s">
        <v>2944</v>
      </c>
      <c r="D47" s="3641" t="s">
        <v>2945</v>
      </c>
      <c r="E47" s="815" t="s">
        <v>2946</v>
      </c>
      <c r="F47" s="2878" t="s">
        <v>2947</v>
      </c>
      <c r="G47" s="3641" t="s">
        <v>754</v>
      </c>
      <c r="H47" s="2879" t="s">
        <v>2948</v>
      </c>
      <c r="I47" s="3641"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t="s">
        <v>3208</v>
      </c>
      <c r="D48" s="1285">
        <f t="shared" ref="D48:D56" si="10">SUMIF($J$47:$N$47,C48,J48:N48)</f>
        <v>4.1399999999999999E-2</v>
      </c>
      <c r="E48" s="817">
        <f>ROUND(SUM(D48:D56),4)</f>
        <v>0.112</v>
      </c>
      <c r="F48" s="2500">
        <f>IF(E2="商业",SUMIF(L1:L12,G2,N1:N12),"——")</f>
        <v>0.126</v>
      </c>
      <c r="G48" s="1283">
        <v>2.07E-2</v>
      </c>
      <c r="H48" s="1287">
        <f t="shared" ref="H48:H56" si="11">IFERROR(ROUNDDOWN($F$48*I48/2,4),"——")</f>
        <v>2.07E-2</v>
      </c>
      <c r="I48" s="816">
        <v>0.33</v>
      </c>
      <c r="J48" s="1284">
        <f t="shared" ref="J48:J56" si="12">K48+$G48</f>
        <v>4.1399999999999999E-2</v>
      </c>
      <c r="K48" s="1284">
        <f t="shared" ref="K48:K56" si="13">$L48+$G48</f>
        <v>2.07E-2</v>
      </c>
      <c r="L48" s="1284">
        <v>0</v>
      </c>
      <c r="M48" s="1284">
        <f t="shared" ref="M48:N56" si="14">L48-$G48</f>
        <v>-2.07E-2</v>
      </c>
      <c r="N48" s="1284">
        <f t="shared" si="14"/>
        <v>-4.1399999999999999E-2</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t="s">
        <v>3208</v>
      </c>
      <c r="D49" s="1285">
        <f t="shared" si="10"/>
        <v>3.1399999999999997E-2</v>
      </c>
      <c r="E49" s="818"/>
      <c r="F49" s="2500"/>
      <c r="G49" s="1283">
        <v>1.5699999999999999E-2</v>
      </c>
      <c r="H49" s="1287">
        <f t="shared" si="11"/>
        <v>1.5699999999999999E-2</v>
      </c>
      <c r="I49" s="816">
        <v>0.25</v>
      </c>
      <c r="J49" s="1284">
        <f t="shared" si="12"/>
        <v>3.1399999999999997E-2</v>
      </c>
      <c r="K49" s="1284">
        <f t="shared" si="13"/>
        <v>1.5699999999999999E-2</v>
      </c>
      <c r="L49" s="1284">
        <v>0</v>
      </c>
      <c r="M49" s="1284">
        <f t="shared" si="14"/>
        <v>-1.5699999999999999E-2</v>
      </c>
      <c r="N49" s="1284">
        <f t="shared" si="14"/>
        <v>-3.1399999999999997E-2</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t="s">
        <v>3205</v>
      </c>
      <c r="D50" s="1285">
        <f t="shared" si="10"/>
        <v>3.0999999999999999E-3</v>
      </c>
      <c r="E50" s="818"/>
      <c r="F50" s="2500"/>
      <c r="G50" s="1283">
        <v>3.0999999999999999E-3</v>
      </c>
      <c r="H50" s="1287">
        <f t="shared" si="11"/>
        <v>3.0999999999999999E-3</v>
      </c>
      <c r="I50" s="816">
        <v>0.05</v>
      </c>
      <c r="J50" s="1284">
        <f t="shared" si="12"/>
        <v>6.1999999999999998E-3</v>
      </c>
      <c r="K50" s="1284">
        <f t="shared" si="13"/>
        <v>3.0999999999999999E-3</v>
      </c>
      <c r="L50" s="1284">
        <v>0</v>
      </c>
      <c r="M50" s="1284">
        <f t="shared" si="14"/>
        <v>-3.0999999999999999E-3</v>
      </c>
      <c r="N50" s="1284">
        <f t="shared" si="14"/>
        <v>-6.1999999999999998E-3</v>
      </c>
      <c r="AA50" s="1370"/>
      <c r="AB50" s="1370"/>
      <c r="AC50" s="1370"/>
      <c r="AD50" s="1370"/>
      <c r="AE50" s="1370"/>
      <c r="AF50" s="1370"/>
      <c r="AG50" s="1370"/>
      <c r="AH50" s="1370"/>
      <c r="AI50" s="1370"/>
      <c r="AJ50" s="1370"/>
      <c r="AK50" s="1370"/>
    </row>
    <row r="51" spans="1:37" s="1369" customFormat="1" ht="36.75">
      <c r="A51" s="2877" t="s">
        <v>2953</v>
      </c>
      <c r="B51" s="2882" t="s">
        <v>2954</v>
      </c>
      <c r="C51" s="2769" t="s">
        <v>3205</v>
      </c>
      <c r="D51" s="1285">
        <f t="shared" si="10"/>
        <v>3.0999999999999999E-3</v>
      </c>
      <c r="E51" s="818"/>
      <c r="F51" s="2500"/>
      <c r="G51" s="1283">
        <v>3.0999999999999999E-3</v>
      </c>
      <c r="H51" s="1287">
        <f t="shared" si="11"/>
        <v>3.0999999999999999E-3</v>
      </c>
      <c r="I51" s="816">
        <v>0.05</v>
      </c>
      <c r="J51" s="1284">
        <f t="shared" si="12"/>
        <v>6.1999999999999998E-3</v>
      </c>
      <c r="K51" s="1284">
        <f t="shared" si="13"/>
        <v>3.0999999999999999E-3</v>
      </c>
      <c r="L51" s="1284">
        <v>0</v>
      </c>
      <c r="M51" s="1284">
        <f t="shared" si="14"/>
        <v>-3.0999999999999999E-3</v>
      </c>
      <c r="N51" s="1284">
        <f t="shared" si="14"/>
        <v>-6.1999999999999998E-3</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t="s">
        <v>3205</v>
      </c>
      <c r="D52" s="1285">
        <f t="shared" si="10"/>
        <v>5.0000000000000001E-3</v>
      </c>
      <c r="E52" s="818"/>
      <c r="F52" s="2500"/>
      <c r="G52" s="1283">
        <v>5.0000000000000001E-3</v>
      </c>
      <c r="H52" s="1287">
        <f t="shared" si="11"/>
        <v>5.0000000000000001E-3</v>
      </c>
      <c r="I52" s="816">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24">
      <c r="A53" s="2877" t="s">
        <v>2956</v>
      </c>
      <c r="B53" s="2883" t="s">
        <v>2957</v>
      </c>
      <c r="C53" s="2769" t="s">
        <v>3205</v>
      </c>
      <c r="D53" s="1285">
        <f t="shared" si="10"/>
        <v>1.8E-3</v>
      </c>
      <c r="E53" s="818"/>
      <c r="F53" s="2500"/>
      <c r="G53" s="1283">
        <v>1.8E-3</v>
      </c>
      <c r="H53" s="1287">
        <f t="shared" si="11"/>
        <v>1.8E-3</v>
      </c>
      <c r="I53" s="816">
        <v>0.03</v>
      </c>
      <c r="J53" s="1284">
        <f t="shared" si="12"/>
        <v>3.5999999999999999E-3</v>
      </c>
      <c r="K53" s="1284">
        <f t="shared" si="13"/>
        <v>1.8E-3</v>
      </c>
      <c r="L53" s="1284">
        <v>0</v>
      </c>
      <c r="M53" s="1284">
        <f t="shared" si="14"/>
        <v>-1.8E-3</v>
      </c>
      <c r="N53" s="1284">
        <f t="shared" si="14"/>
        <v>-3.5999999999999999E-3</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t="s">
        <v>3208</v>
      </c>
      <c r="D54" s="1285">
        <f t="shared" si="10"/>
        <v>6.1999999999999998E-3</v>
      </c>
      <c r="E54" s="818"/>
      <c r="F54" s="2500"/>
      <c r="G54" s="1283">
        <v>3.0999999999999999E-3</v>
      </c>
      <c r="H54" s="1287">
        <f t="shared" si="11"/>
        <v>3.0999999999999999E-3</v>
      </c>
      <c r="I54" s="816">
        <v>0.05</v>
      </c>
      <c r="J54" s="1284">
        <f t="shared" si="12"/>
        <v>6.1999999999999998E-3</v>
      </c>
      <c r="K54" s="1284">
        <f t="shared" si="13"/>
        <v>3.0999999999999999E-3</v>
      </c>
      <c r="L54" s="1284">
        <v>0</v>
      </c>
      <c r="M54" s="1284">
        <f t="shared" si="14"/>
        <v>-3.0999999999999999E-3</v>
      </c>
      <c r="N54" s="1284">
        <f t="shared" si="14"/>
        <v>-6.1999999999999998E-3</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t="s">
        <v>3208</v>
      </c>
      <c r="D55" s="1285">
        <f t="shared" si="10"/>
        <v>1.26E-2</v>
      </c>
      <c r="E55" s="818"/>
      <c r="F55" s="2500"/>
      <c r="G55" s="1283">
        <v>6.3E-3</v>
      </c>
      <c r="H55" s="1287">
        <f t="shared" si="11"/>
        <v>6.3E-3</v>
      </c>
      <c r="I55" s="816">
        <v>0.1</v>
      </c>
      <c r="J55" s="1284">
        <f t="shared" si="12"/>
        <v>1.26E-2</v>
      </c>
      <c r="K55" s="1284">
        <f t="shared" si="13"/>
        <v>6.3E-3</v>
      </c>
      <c r="L55" s="1284">
        <v>0</v>
      </c>
      <c r="M55" s="1284">
        <f t="shared" si="14"/>
        <v>-6.3E-3</v>
      </c>
      <c r="N55" s="1284">
        <f t="shared" si="14"/>
        <v>-1.26E-2</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t="s">
        <v>3208</v>
      </c>
      <c r="D56" s="1285">
        <f t="shared" si="10"/>
        <v>7.4000000000000003E-3</v>
      </c>
      <c r="E56" s="821"/>
      <c r="F56" s="2500"/>
      <c r="G56" s="1283">
        <v>3.7000000000000002E-3</v>
      </c>
      <c r="H56" s="1287">
        <f t="shared" si="11"/>
        <v>3.7000000000000002E-3</v>
      </c>
      <c r="I56" s="820">
        <v>0.06</v>
      </c>
      <c r="J56" s="1284">
        <f t="shared" si="12"/>
        <v>7.4000000000000003E-3</v>
      </c>
      <c r="K56" s="1284">
        <f t="shared" si="13"/>
        <v>3.7000000000000002E-3</v>
      </c>
      <c r="L56" s="1284">
        <v>0</v>
      </c>
      <c r="M56" s="1284">
        <f t="shared" si="14"/>
        <v>-3.7000000000000002E-3</v>
      </c>
      <c r="N56" s="1284">
        <f t="shared" si="14"/>
        <v>-7.4000000000000003E-3</v>
      </c>
      <c r="AA56" s="1370"/>
      <c r="AB56" s="1370"/>
      <c r="AC56" s="1370"/>
      <c r="AD56" s="1370"/>
      <c r="AE56" s="1370"/>
      <c r="AF56" s="1370"/>
      <c r="AG56" s="1370"/>
      <c r="AH56" s="1370"/>
      <c r="AI56" s="1370"/>
      <c r="AJ56" s="1370"/>
      <c r="AK56" s="1370"/>
    </row>
    <row r="57" spans="1:37" s="1369" customFormat="1" ht="15">
      <c r="A57" s="2873" t="s">
        <v>2961</v>
      </c>
      <c r="B57" s="2874">
        <f>1+E59</f>
        <v>1.1176999999999999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3641"/>
      <c r="C58" s="3641" t="s">
        <v>2944</v>
      </c>
      <c r="D58" s="3641" t="s">
        <v>2945</v>
      </c>
      <c r="E58" s="815" t="s">
        <v>2946</v>
      </c>
      <c r="F58" s="2878" t="s">
        <v>2962</v>
      </c>
      <c r="G58" s="3641" t="s">
        <v>754</v>
      </c>
      <c r="H58" s="2879" t="s">
        <v>2948</v>
      </c>
      <c r="I58" s="3641"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0.1177</v>
      </c>
      <c r="F59" s="2500" t="str">
        <f>IF(E2="办公",SUMIF(L1:L12,G2,N1:N12),"——")</f>
        <v>——</v>
      </c>
      <c r="G59" s="1283">
        <v>1.5100000000000001E-2</v>
      </c>
      <c r="H59" s="1287" t="str">
        <f t="shared" ref="H59:H67" si="16">IFERROR(ROUNDDOWN($F$59*I59/2,4),"——")</f>
        <v>——</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t="str">
        <f t="shared" si="16"/>
        <v>——</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t="str">
        <f t="shared" si="16"/>
        <v>——</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t="str">
        <f t="shared" si="16"/>
        <v>——</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3208</v>
      </c>
      <c r="D63" s="1285">
        <f t="shared" si="15"/>
        <v>6.1999999999999998E-3</v>
      </c>
      <c r="E63" s="818"/>
      <c r="F63" s="2500"/>
      <c r="G63" s="1283">
        <v>3.0999999999999999E-3</v>
      </c>
      <c r="H63" s="1287" t="str">
        <f t="shared" si="16"/>
        <v>——</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t="str">
        <f t="shared" si="16"/>
        <v>——</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t="str">
        <f t="shared" si="16"/>
        <v>——</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t="str">
        <f t="shared" si="16"/>
        <v>——</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t="str">
        <f t="shared" si="16"/>
        <v>——</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3641"/>
      <c r="C69" s="3641" t="s">
        <v>2944</v>
      </c>
      <c r="D69" s="3641" t="s">
        <v>2945</v>
      </c>
      <c r="E69" s="815" t="s">
        <v>2946</v>
      </c>
      <c r="F69" s="2878" t="s">
        <v>2962</v>
      </c>
      <c r="G69" s="3641" t="s">
        <v>754</v>
      </c>
      <c r="H69" s="2879" t="s">
        <v>2948</v>
      </c>
      <c r="I69" s="3641"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3641"/>
      <c r="C80" s="3641" t="s">
        <v>2944</v>
      </c>
      <c r="D80" s="3641" t="s">
        <v>2945</v>
      </c>
      <c r="E80" s="815" t="s">
        <v>2946</v>
      </c>
      <c r="F80" s="2878" t="s">
        <v>2962</v>
      </c>
      <c r="G80" s="3641" t="s">
        <v>754</v>
      </c>
      <c r="H80" s="2879" t="s">
        <v>2948</v>
      </c>
      <c r="I80" s="3641"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9" t="s">
        <v>2972</v>
      </c>
      <c r="B90" s="3909"/>
      <c r="C90" s="3909"/>
      <c r="D90" s="3909"/>
      <c r="E90" s="3909"/>
      <c r="F90" s="3909"/>
      <c r="G90" s="3909"/>
      <c r="H90" s="3909"/>
      <c r="I90" s="3909"/>
      <c r="J90" s="3909"/>
      <c r="K90" s="3645"/>
      <c r="L90" s="3645"/>
      <c r="M90" s="3645"/>
      <c r="N90" s="3645"/>
    </row>
    <row r="91" spans="1:37">
      <c r="A91" s="3911" t="s">
        <v>2973</v>
      </c>
      <c r="B91" s="3911" t="s">
        <v>2974</v>
      </c>
      <c r="C91" s="2845" t="s">
        <v>2975</v>
      </c>
      <c r="D91" s="2846"/>
      <c r="E91" s="2846"/>
      <c r="F91" s="2846"/>
      <c r="G91" s="2846"/>
      <c r="H91" s="2846"/>
      <c r="I91" s="2846"/>
      <c r="J91" s="2892"/>
      <c r="K91" s="2893"/>
      <c r="L91" s="2893"/>
      <c r="M91" s="2893"/>
      <c r="N91" s="2893"/>
    </row>
    <row r="92" spans="1:37">
      <c r="A92" s="3911"/>
      <c r="B92" s="3911"/>
      <c r="C92" s="3647" t="s">
        <v>2841</v>
      </c>
      <c r="D92" s="3647" t="s">
        <v>2842</v>
      </c>
      <c r="E92" s="3647" t="s">
        <v>2843</v>
      </c>
      <c r="F92" s="3647" t="s">
        <v>2844</v>
      </c>
      <c r="G92" s="3647" t="s">
        <v>2845</v>
      </c>
      <c r="H92" s="3647" t="s">
        <v>2846</v>
      </c>
      <c r="I92" s="3647" t="s">
        <v>2847</v>
      </c>
      <c r="J92" s="3647" t="s">
        <v>2848</v>
      </c>
      <c r="K92" s="3647" t="s">
        <v>2849</v>
      </c>
      <c r="L92" s="3647" t="s">
        <v>2850</v>
      </c>
      <c r="M92" s="3647" t="s">
        <v>2851</v>
      </c>
      <c r="N92" s="3647" t="s">
        <v>2852</v>
      </c>
    </row>
    <row r="93" spans="1:37">
      <c r="A93" s="391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13"/>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1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12"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13"/>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13"/>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13"/>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13"/>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13"/>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13"/>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13"/>
      <c r="B108" s="3817"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14"/>
      <c r="B109" s="3818"/>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10" t="s">
        <v>2980</v>
      </c>
      <c r="B110" s="3910"/>
      <c r="C110" s="3910"/>
      <c r="D110" s="3910"/>
      <c r="E110" s="3910"/>
      <c r="F110" s="3910"/>
      <c r="G110" s="3910"/>
      <c r="H110" s="3910"/>
      <c r="I110" s="3910"/>
      <c r="J110" s="3910"/>
      <c r="K110" s="3646"/>
      <c r="L110" s="3646"/>
      <c r="M110" s="3646"/>
      <c r="N110" s="3646"/>
    </row>
    <row r="112" spans="1:14" ht="13.5" thickBot="1"/>
    <row r="113" spans="1:13" ht="25.5" thickBot="1">
      <c r="A113" s="899" t="s">
        <v>2981</v>
      </c>
      <c r="B113" s="1286">
        <f>G3</f>
        <v>4.7</v>
      </c>
      <c r="C113" s="900" t="s">
        <v>2982</v>
      </c>
      <c r="D113" s="901">
        <f>SUMPRODUCT((A115:A118=F113)*(B114:M114=H113)*B115:M118)</f>
        <v>0.78190000000000004</v>
      </c>
      <c r="E113" s="2723" t="s">
        <v>2815</v>
      </c>
      <c r="F113" s="2902" t="str">
        <f>E2</f>
        <v>商业</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68" priority="5" stopIfTrue="1" operator="notEqual">
      <formula>"——"</formula>
    </cfRule>
  </conditionalFormatting>
  <conditionalFormatting sqref="F59">
    <cfRule type="cellIs" dxfId="167" priority="4" stopIfTrue="1" operator="notEqual">
      <formula>"——"</formula>
    </cfRule>
  </conditionalFormatting>
  <conditionalFormatting sqref="F70">
    <cfRule type="cellIs" dxfId="166" priority="3" stopIfTrue="1" operator="notEqual">
      <formula>"——"</formula>
    </cfRule>
  </conditionalFormatting>
  <conditionalFormatting sqref="F81">
    <cfRule type="cellIs" dxfId="165" priority="2" stopIfTrue="1" operator="notEqual">
      <formula>"——"</formula>
    </cfRule>
  </conditionalFormatting>
  <conditionalFormatting sqref="H48:H56 H59:H67 H70:H78 H81:H88">
    <cfRule type="cellIs" dxfId="16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45" sqref="A45:XFD56"/>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918" t="s">
        <v>183</v>
      </c>
      <c r="B18" s="878" t="s">
        <v>560</v>
      </c>
      <c r="C18" s="879" t="s">
        <v>561</v>
      </c>
      <c r="D18" s="880"/>
      <c r="E18" s="878">
        <v>1</v>
      </c>
      <c r="F18" s="881" t="s">
        <v>562</v>
      </c>
      <c r="G18" s="882"/>
      <c r="H18" s="874"/>
      <c r="I18" s="874"/>
    </row>
    <row r="19" spans="1:9" s="883" customFormat="1" ht="19.5" customHeight="1">
      <c r="A19" s="3918"/>
      <c r="B19" s="3918" t="s">
        <v>563</v>
      </c>
      <c r="C19" s="879" t="s">
        <v>564</v>
      </c>
      <c r="D19" s="880"/>
      <c r="E19" s="878">
        <v>0.9</v>
      </c>
      <c r="F19" s="881" t="s">
        <v>565</v>
      </c>
      <c r="G19" s="882"/>
      <c r="H19" s="874"/>
      <c r="I19" s="874"/>
    </row>
    <row r="20" spans="1:9" s="883" customFormat="1" ht="19.5" customHeight="1">
      <c r="A20" s="3918"/>
      <c r="B20" s="3918"/>
      <c r="C20" s="879" t="s">
        <v>566</v>
      </c>
      <c r="D20" s="880"/>
      <c r="E20" s="878">
        <v>1.1000000000000001</v>
      </c>
      <c r="F20" s="881" t="s">
        <v>567</v>
      </c>
      <c r="G20" s="882"/>
      <c r="H20" s="874"/>
      <c r="I20" s="874"/>
    </row>
    <row r="21" spans="1:9" s="883" customFormat="1" ht="19.5" customHeight="1">
      <c r="A21" s="3918"/>
      <c r="B21" s="3918"/>
      <c r="C21" s="879" t="s">
        <v>568</v>
      </c>
      <c r="D21" s="880"/>
      <c r="E21" s="878">
        <v>0.8</v>
      </c>
      <c r="F21" s="881" t="s">
        <v>569</v>
      </c>
      <c r="G21" s="882"/>
      <c r="H21" s="874"/>
      <c r="I21" s="874"/>
    </row>
    <row r="22" spans="1:9" s="883" customFormat="1" ht="19.5" customHeight="1">
      <c r="A22" s="3918"/>
      <c r="B22" s="3918"/>
      <c r="C22" s="879" t="s">
        <v>570</v>
      </c>
      <c r="D22" s="880"/>
      <c r="E22" s="878">
        <v>0.5</v>
      </c>
      <c r="F22" s="881"/>
      <c r="G22" s="882"/>
      <c r="H22" s="874"/>
      <c r="I22" s="874"/>
    </row>
    <row r="23" spans="1:9" s="883" customFormat="1" ht="19.5" customHeight="1">
      <c r="A23" s="3918" t="s">
        <v>184</v>
      </c>
      <c r="B23" s="878" t="s">
        <v>560</v>
      </c>
      <c r="C23" s="879" t="s">
        <v>571</v>
      </c>
      <c r="D23" s="880"/>
      <c r="E23" s="878">
        <v>1</v>
      </c>
      <c r="F23" s="881" t="s">
        <v>572</v>
      </c>
      <c r="G23" s="882"/>
      <c r="H23" s="874"/>
      <c r="I23" s="874"/>
    </row>
    <row r="24" spans="1:9" s="883" customFormat="1" ht="19.5" customHeight="1">
      <c r="A24" s="3918"/>
      <c r="B24" s="3918" t="s">
        <v>563</v>
      </c>
      <c r="C24" s="879" t="s">
        <v>573</v>
      </c>
      <c r="D24" s="880"/>
      <c r="E24" s="878">
        <v>0.5</v>
      </c>
      <c r="F24" s="881"/>
      <c r="G24" s="882"/>
      <c r="H24" s="874"/>
      <c r="I24" s="874"/>
    </row>
    <row r="25" spans="1:9" s="883" customFormat="1" ht="19.5" customHeight="1">
      <c r="A25" s="3918"/>
      <c r="B25" s="3918"/>
      <c r="C25" s="879" t="s">
        <v>574</v>
      </c>
      <c r="D25" s="880"/>
      <c r="E25" s="878">
        <v>1.1000000000000001</v>
      </c>
      <c r="F25" s="881"/>
      <c r="G25" s="882"/>
      <c r="H25" s="874"/>
      <c r="I25" s="874"/>
    </row>
    <row r="26" spans="1:9" s="883" customFormat="1" ht="19.5" customHeight="1">
      <c r="A26" s="3918"/>
      <c r="B26" s="3918"/>
      <c r="C26" s="879" t="s">
        <v>575</v>
      </c>
      <c r="D26" s="880"/>
      <c r="E26" s="878">
        <v>1.1000000000000001</v>
      </c>
      <c r="F26" s="881"/>
      <c r="G26" s="882"/>
      <c r="H26" s="874"/>
      <c r="I26" s="874"/>
    </row>
    <row r="27" spans="1:9" s="883" customFormat="1" ht="19.5" customHeight="1">
      <c r="A27" s="3918"/>
      <c r="B27" s="3918"/>
      <c r="C27" s="879" t="s">
        <v>576</v>
      </c>
      <c r="D27" s="880"/>
      <c r="E27" s="878">
        <v>0.9</v>
      </c>
      <c r="F27" s="881" t="s">
        <v>577</v>
      </c>
      <c r="G27" s="882"/>
      <c r="H27" s="874"/>
      <c r="I27" s="874"/>
    </row>
    <row r="28" spans="1:9" s="883" customFormat="1" ht="19.5" customHeight="1">
      <c r="A28" s="3918"/>
      <c r="B28" s="3918"/>
      <c r="C28" s="879" t="s">
        <v>578</v>
      </c>
      <c r="D28" s="880"/>
      <c r="E28" s="878">
        <v>0.9</v>
      </c>
      <c r="F28" s="881" t="s">
        <v>579</v>
      </c>
      <c r="G28" s="882"/>
      <c r="H28" s="874"/>
      <c r="I28" s="874"/>
    </row>
    <row r="29" spans="1:9" s="883" customFormat="1" ht="19.5" customHeight="1">
      <c r="A29" s="3918"/>
      <c r="B29" s="3918"/>
      <c r="C29" s="879" t="s">
        <v>580</v>
      </c>
      <c r="D29" s="880"/>
      <c r="E29" s="878">
        <v>0.9</v>
      </c>
      <c r="F29" s="881" t="s">
        <v>581</v>
      </c>
      <c r="G29" s="882"/>
      <c r="H29" s="874"/>
      <c r="I29" s="874"/>
    </row>
    <row r="30" spans="1:9" s="883" customFormat="1" ht="19.5" customHeight="1">
      <c r="A30" s="3918"/>
      <c r="B30" s="3918"/>
      <c r="C30" s="879" t="s">
        <v>582</v>
      </c>
      <c r="D30" s="880"/>
      <c r="E30" s="878">
        <v>0.9</v>
      </c>
      <c r="F30" s="881" t="s">
        <v>583</v>
      </c>
      <c r="G30" s="882"/>
      <c r="H30" s="874"/>
      <c r="I30" s="874"/>
    </row>
    <row r="31" spans="1:9" s="883" customFormat="1" ht="19.5" customHeight="1">
      <c r="A31" s="3918"/>
      <c r="B31" s="3918"/>
      <c r="C31" s="879" t="s">
        <v>584</v>
      </c>
      <c r="D31" s="880"/>
      <c r="E31" s="878">
        <v>0.8</v>
      </c>
      <c r="F31" s="881" t="s">
        <v>585</v>
      </c>
      <c r="G31" s="882"/>
      <c r="H31" s="874"/>
      <c r="I31" s="874"/>
    </row>
    <row r="32" spans="1:9" s="883" customFormat="1" ht="19.5" customHeight="1">
      <c r="A32" s="3918"/>
      <c r="B32" s="3918"/>
      <c r="C32" s="879" t="s">
        <v>586</v>
      </c>
      <c r="D32" s="880"/>
      <c r="E32" s="878">
        <v>0.8</v>
      </c>
      <c r="F32" s="881" t="s">
        <v>587</v>
      </c>
      <c r="G32" s="882"/>
      <c r="H32" s="874"/>
      <c r="I32" s="874"/>
    </row>
    <row r="33" spans="1:9" s="883" customFormat="1" ht="19.5" customHeight="1">
      <c r="A33" s="3918" t="s">
        <v>185</v>
      </c>
      <c r="B33" s="878" t="s">
        <v>560</v>
      </c>
      <c r="C33" s="879" t="s">
        <v>588</v>
      </c>
      <c r="D33" s="880"/>
      <c r="E33" s="878">
        <v>1</v>
      </c>
      <c r="F33" s="881" t="s">
        <v>589</v>
      </c>
      <c r="G33" s="882"/>
      <c r="H33" s="874"/>
      <c r="I33" s="874"/>
    </row>
    <row r="34" spans="1:9" s="883" customFormat="1" ht="19.5" customHeight="1">
      <c r="A34" s="3918"/>
      <c r="B34" s="878" t="s">
        <v>563</v>
      </c>
      <c r="C34" s="879" t="s">
        <v>590</v>
      </c>
      <c r="D34" s="880"/>
      <c r="E34" s="878">
        <v>1.5</v>
      </c>
      <c r="F34" s="881" t="s">
        <v>591</v>
      </c>
      <c r="G34" s="882"/>
      <c r="H34" s="874"/>
      <c r="I34" s="874"/>
    </row>
    <row r="35" spans="1:9" s="883" customFormat="1" ht="19.5" customHeight="1">
      <c r="A35" s="3918" t="s">
        <v>186</v>
      </c>
      <c r="B35" s="878" t="s">
        <v>560</v>
      </c>
      <c r="C35" s="879" t="s">
        <v>592</v>
      </c>
      <c r="D35" s="880"/>
      <c r="E35" s="878">
        <v>1</v>
      </c>
      <c r="F35" s="881" t="s">
        <v>593</v>
      </c>
      <c r="G35" s="882"/>
      <c r="H35" s="874"/>
      <c r="I35" s="874"/>
    </row>
    <row r="36" spans="1:9" s="883" customFormat="1" ht="19.5" customHeight="1">
      <c r="A36" s="3918"/>
      <c r="B36" s="3918" t="s">
        <v>563</v>
      </c>
      <c r="C36" s="879" t="s">
        <v>594</v>
      </c>
      <c r="D36" s="880"/>
      <c r="E36" s="878">
        <v>1</v>
      </c>
      <c r="F36" s="881" t="s">
        <v>595</v>
      </c>
      <c r="G36" s="882"/>
      <c r="H36" s="874"/>
      <c r="I36" s="874"/>
    </row>
    <row r="37" spans="1:9" s="883" customFormat="1" ht="19.5" customHeight="1">
      <c r="A37" s="3918"/>
      <c r="B37" s="3918"/>
      <c r="C37" s="879" t="s">
        <v>596</v>
      </c>
      <c r="D37" s="880"/>
      <c r="E37" s="878">
        <v>1.5</v>
      </c>
      <c r="F37" s="881" t="s">
        <v>597</v>
      </c>
      <c r="G37" s="882"/>
      <c r="H37" s="874"/>
      <c r="I37" s="874"/>
    </row>
    <row r="38" spans="1:9" s="883" customFormat="1" ht="19.5" customHeight="1">
      <c r="A38" s="3918"/>
      <c r="B38" s="3918"/>
      <c r="C38" s="879" t="s">
        <v>598</v>
      </c>
      <c r="D38" s="880"/>
      <c r="E38" s="878">
        <v>1</v>
      </c>
      <c r="F38" s="881" t="s">
        <v>599</v>
      </c>
      <c r="G38" s="882"/>
      <c r="H38" s="874"/>
      <c r="I38" s="874"/>
    </row>
    <row r="39" spans="1:9" s="883" customFormat="1" ht="19.5" customHeight="1">
      <c r="A39" s="3918"/>
      <c r="B39" s="391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918" t="s">
        <v>614</v>
      </c>
      <c r="C61" s="814" t="s">
        <v>615</v>
      </c>
      <c r="D61" s="814" t="s">
        <v>616</v>
      </c>
      <c r="E61" s="891">
        <v>0.5</v>
      </c>
      <c r="F61" s="878">
        <v>80</v>
      </c>
    </row>
    <row r="62" spans="1:8" s="874" customFormat="1" ht="24">
      <c r="A62" s="878">
        <v>2</v>
      </c>
      <c r="B62" s="3918"/>
      <c r="C62" s="814" t="s">
        <v>617</v>
      </c>
      <c r="D62" s="814" t="s">
        <v>618</v>
      </c>
      <c r="E62" s="891">
        <v>0.5</v>
      </c>
      <c r="F62" s="878">
        <v>80</v>
      </c>
    </row>
    <row r="63" spans="1:8" s="874" customFormat="1" ht="36">
      <c r="A63" s="878">
        <v>3</v>
      </c>
      <c r="B63" s="3918"/>
      <c r="C63" s="814" t="s">
        <v>619</v>
      </c>
      <c r="D63" s="814" t="s">
        <v>620</v>
      </c>
      <c r="E63" s="891">
        <v>0.5</v>
      </c>
      <c r="F63" s="878">
        <v>80</v>
      </c>
    </row>
    <row r="64" spans="1:8" s="874" customFormat="1" ht="36">
      <c r="A64" s="878">
        <v>4</v>
      </c>
      <c r="B64" s="3918"/>
      <c r="C64" s="814" t="s">
        <v>621</v>
      </c>
      <c r="D64" s="814" t="s">
        <v>622</v>
      </c>
      <c r="E64" s="891">
        <v>0.4</v>
      </c>
      <c r="F64" s="878">
        <v>60</v>
      </c>
    </row>
    <row r="65" spans="1:6" s="874" customFormat="1" ht="36">
      <c r="A65" s="878">
        <v>5</v>
      </c>
      <c r="B65" s="3918"/>
      <c r="C65" s="814" t="s">
        <v>623</v>
      </c>
      <c r="D65" s="814" t="s">
        <v>624</v>
      </c>
      <c r="E65" s="891">
        <v>0.2</v>
      </c>
      <c r="F65" s="878">
        <v>30</v>
      </c>
    </row>
    <row r="66" spans="1:6" s="874" customFormat="1" ht="36">
      <c r="A66" s="878">
        <v>6</v>
      </c>
      <c r="B66" s="3918"/>
      <c r="C66" s="814" t="s">
        <v>625</v>
      </c>
      <c r="D66" s="814" t="s">
        <v>626</v>
      </c>
      <c r="E66" s="891">
        <v>0.3</v>
      </c>
      <c r="F66" s="878">
        <v>50</v>
      </c>
    </row>
    <row r="67" spans="1:6" s="874" customFormat="1" ht="36">
      <c r="A67" s="878">
        <v>7</v>
      </c>
      <c r="B67" s="3918"/>
      <c r="C67" s="814" t="s">
        <v>627</v>
      </c>
      <c r="D67" s="814" t="s">
        <v>628</v>
      </c>
      <c r="E67" s="891">
        <v>0.2</v>
      </c>
      <c r="F67" s="878">
        <v>30</v>
      </c>
    </row>
    <row r="68" spans="1:6" s="874" customFormat="1" ht="36">
      <c r="A68" s="878">
        <v>8</v>
      </c>
      <c r="B68" s="3918"/>
      <c r="C68" s="814" t="s">
        <v>629</v>
      </c>
      <c r="D68" s="814" t="s">
        <v>630</v>
      </c>
      <c r="E68" s="891">
        <v>0.2</v>
      </c>
      <c r="F68" s="878">
        <v>30</v>
      </c>
    </row>
    <row r="69" spans="1:6" s="874" customFormat="1" ht="36">
      <c r="A69" s="878">
        <v>9</v>
      </c>
      <c r="B69" s="3918"/>
      <c r="C69" s="814" t="s">
        <v>631</v>
      </c>
      <c r="D69" s="814" t="s">
        <v>632</v>
      </c>
      <c r="E69" s="891">
        <v>0.2</v>
      </c>
      <c r="F69" s="878">
        <v>30</v>
      </c>
    </row>
    <row r="70" spans="1:6" s="874" customFormat="1" ht="48">
      <c r="A70" s="878">
        <v>10</v>
      </c>
      <c r="B70" s="3918"/>
      <c r="C70" s="814" t="s">
        <v>633</v>
      </c>
      <c r="D70" s="814" t="s">
        <v>634</v>
      </c>
      <c r="E70" s="891">
        <v>0.2</v>
      </c>
      <c r="F70" s="878">
        <v>30</v>
      </c>
    </row>
    <row r="71" spans="1:6" s="874" customFormat="1" ht="48">
      <c r="A71" s="878">
        <v>11</v>
      </c>
      <c r="B71" s="3918"/>
      <c r="C71" s="814" t="s">
        <v>635</v>
      </c>
      <c r="D71" s="814" t="s">
        <v>636</v>
      </c>
      <c r="E71" s="891">
        <v>0.2</v>
      </c>
      <c r="F71" s="878">
        <v>30</v>
      </c>
    </row>
    <row r="72" spans="1:6" s="874" customFormat="1" ht="36">
      <c r="A72" s="878">
        <v>12</v>
      </c>
      <c r="B72" s="3918"/>
      <c r="C72" s="814" t="s">
        <v>637</v>
      </c>
      <c r="D72" s="814" t="s">
        <v>638</v>
      </c>
      <c r="E72" s="891">
        <v>0.5</v>
      </c>
      <c r="F72" s="878">
        <v>80</v>
      </c>
    </row>
    <row r="73" spans="1:6" s="874" customFormat="1" ht="24">
      <c r="A73" s="878">
        <v>13</v>
      </c>
      <c r="B73" s="3918"/>
      <c r="C73" s="814" t="s">
        <v>639</v>
      </c>
      <c r="D73" s="814" t="s">
        <v>640</v>
      </c>
      <c r="E73" s="891">
        <v>0.4</v>
      </c>
      <c r="F73" s="878">
        <v>60</v>
      </c>
    </row>
    <row r="74" spans="1:6" s="874" customFormat="1" ht="24">
      <c r="A74" s="878">
        <v>14</v>
      </c>
      <c r="B74" s="3918"/>
      <c r="C74" s="814" t="s">
        <v>641</v>
      </c>
      <c r="D74" s="814" t="s">
        <v>642</v>
      </c>
      <c r="E74" s="891">
        <v>0.2</v>
      </c>
      <c r="F74" s="878">
        <v>30</v>
      </c>
    </row>
    <row r="75" spans="1:6" s="874" customFormat="1" ht="24">
      <c r="A75" s="878">
        <v>15</v>
      </c>
      <c r="B75" s="3918"/>
      <c r="C75" s="814" t="s">
        <v>643</v>
      </c>
      <c r="D75" s="814" t="s">
        <v>644</v>
      </c>
      <c r="E75" s="891">
        <v>0.2</v>
      </c>
      <c r="F75" s="878">
        <v>30</v>
      </c>
    </row>
    <row r="76" spans="1:6" s="874" customFormat="1" ht="24">
      <c r="A76" s="878">
        <v>16</v>
      </c>
      <c r="B76" s="3918" t="s">
        <v>645</v>
      </c>
      <c r="C76" s="814" t="s">
        <v>646</v>
      </c>
      <c r="D76" s="814" t="s">
        <v>647</v>
      </c>
      <c r="E76" s="891">
        <v>0.5</v>
      </c>
      <c r="F76" s="878">
        <v>80</v>
      </c>
    </row>
    <row r="77" spans="1:6" s="874" customFormat="1" ht="24">
      <c r="A77" s="878">
        <v>17</v>
      </c>
      <c r="B77" s="3918"/>
      <c r="C77" s="814" t="s">
        <v>648</v>
      </c>
      <c r="D77" s="814" t="s">
        <v>649</v>
      </c>
      <c r="E77" s="891">
        <v>0.5</v>
      </c>
      <c r="F77" s="878">
        <v>80</v>
      </c>
    </row>
    <row r="78" spans="1:6" s="874" customFormat="1" ht="24">
      <c r="A78" s="878">
        <v>18</v>
      </c>
      <c r="B78" s="3918"/>
      <c r="C78" s="814" t="s">
        <v>650</v>
      </c>
      <c r="D78" s="814" t="s">
        <v>651</v>
      </c>
      <c r="E78" s="891">
        <v>0.2</v>
      </c>
      <c r="F78" s="878">
        <v>30</v>
      </c>
    </row>
    <row r="79" spans="1:6" s="874" customFormat="1" ht="24">
      <c r="A79" s="878">
        <v>19</v>
      </c>
      <c r="B79" s="3918"/>
      <c r="C79" s="814" t="s">
        <v>652</v>
      </c>
      <c r="D79" s="814" t="s">
        <v>653</v>
      </c>
      <c r="E79" s="891">
        <v>0.5</v>
      </c>
      <c r="F79" s="878">
        <v>80</v>
      </c>
    </row>
    <row r="80" spans="1:6" s="874" customFormat="1" ht="36">
      <c r="A80" s="878">
        <v>20</v>
      </c>
      <c r="B80" s="3918"/>
      <c r="C80" s="814" t="s">
        <v>654</v>
      </c>
      <c r="D80" s="814" t="s">
        <v>655</v>
      </c>
      <c r="E80" s="891">
        <v>0.2</v>
      </c>
      <c r="F80" s="878">
        <v>30</v>
      </c>
    </row>
    <row r="81" spans="1:6" s="874" customFormat="1" ht="36">
      <c r="A81" s="878">
        <v>21</v>
      </c>
      <c r="B81" s="3918"/>
      <c r="C81" s="814" t="s">
        <v>656</v>
      </c>
      <c r="D81" s="814" t="s">
        <v>657</v>
      </c>
      <c r="E81" s="891">
        <v>0.2</v>
      </c>
      <c r="F81" s="878">
        <v>30</v>
      </c>
    </row>
    <row r="82" spans="1:6" s="874" customFormat="1" ht="48">
      <c r="A82" s="878">
        <v>22</v>
      </c>
      <c r="B82" s="3918"/>
      <c r="C82" s="814" t="s">
        <v>658</v>
      </c>
      <c r="D82" s="814" t="s">
        <v>659</v>
      </c>
      <c r="E82" s="891">
        <v>0.2</v>
      </c>
      <c r="F82" s="878">
        <v>30</v>
      </c>
    </row>
    <row r="83" spans="1:6" s="874" customFormat="1" ht="48">
      <c r="A83" s="878">
        <v>23</v>
      </c>
      <c r="B83" s="3918"/>
      <c r="C83" s="814" t="s">
        <v>660</v>
      </c>
      <c r="D83" s="814" t="s">
        <v>661</v>
      </c>
      <c r="E83" s="891">
        <v>0.2</v>
      </c>
      <c r="F83" s="878">
        <v>30</v>
      </c>
    </row>
    <row r="84" spans="1:6" s="874" customFormat="1" ht="36">
      <c r="A84" s="878">
        <v>24</v>
      </c>
      <c r="B84" s="3918"/>
      <c r="C84" s="814" t="s">
        <v>662</v>
      </c>
      <c r="D84" s="814" t="s">
        <v>663</v>
      </c>
      <c r="E84" s="891">
        <v>0.2</v>
      </c>
      <c r="F84" s="878">
        <v>30</v>
      </c>
    </row>
    <row r="85" spans="1:6" s="874" customFormat="1" ht="36">
      <c r="A85" s="878">
        <v>25</v>
      </c>
      <c r="B85" s="3918"/>
      <c r="C85" s="814" t="s">
        <v>664</v>
      </c>
      <c r="D85" s="814" t="s">
        <v>665</v>
      </c>
      <c r="E85" s="891">
        <v>0.5</v>
      </c>
      <c r="F85" s="878">
        <v>80</v>
      </c>
    </row>
    <row r="86" spans="1:6" s="874" customFormat="1" ht="36">
      <c r="A86" s="878">
        <v>26</v>
      </c>
      <c r="B86" s="3918"/>
      <c r="C86" s="814" t="s">
        <v>666</v>
      </c>
      <c r="D86" s="814" t="s">
        <v>667</v>
      </c>
      <c r="E86" s="891">
        <v>0.2</v>
      </c>
      <c r="F86" s="878">
        <v>30</v>
      </c>
    </row>
    <row r="87" spans="1:6" s="874" customFormat="1" ht="36">
      <c r="A87" s="878">
        <v>27</v>
      </c>
      <c r="B87" s="3918"/>
      <c r="C87" s="814" t="s">
        <v>668</v>
      </c>
      <c r="D87" s="814" t="s">
        <v>669</v>
      </c>
      <c r="E87" s="891">
        <v>0.2</v>
      </c>
      <c r="F87" s="878">
        <v>30</v>
      </c>
    </row>
    <row r="88" spans="1:6" s="874" customFormat="1" ht="36">
      <c r="A88" s="878">
        <v>28</v>
      </c>
      <c r="B88" s="3918"/>
      <c r="C88" s="814" t="s">
        <v>670</v>
      </c>
      <c r="D88" s="814" t="s">
        <v>671</v>
      </c>
      <c r="E88" s="891">
        <v>0.2</v>
      </c>
      <c r="F88" s="878">
        <v>30</v>
      </c>
    </row>
    <row r="89" spans="1:6" s="874" customFormat="1" ht="24">
      <c r="A89" s="878">
        <v>29</v>
      </c>
      <c r="B89" s="3918"/>
      <c r="C89" s="814" t="s">
        <v>672</v>
      </c>
      <c r="D89" s="814" t="s">
        <v>673</v>
      </c>
      <c r="E89" s="891">
        <v>0.2</v>
      </c>
      <c r="F89" s="878">
        <v>30</v>
      </c>
    </row>
    <row r="90" spans="1:6" s="874" customFormat="1" ht="24">
      <c r="A90" s="878">
        <v>30</v>
      </c>
      <c r="B90" s="3918"/>
      <c r="C90" s="814" t="s">
        <v>674</v>
      </c>
      <c r="D90" s="814" t="s">
        <v>675</v>
      </c>
      <c r="E90" s="891">
        <v>0.2</v>
      </c>
      <c r="F90" s="878">
        <v>30</v>
      </c>
    </row>
    <row r="91" spans="1:6" s="874" customFormat="1" ht="36">
      <c r="A91" s="878">
        <v>31</v>
      </c>
      <c r="B91" s="3918"/>
      <c r="C91" s="814" t="s">
        <v>676</v>
      </c>
      <c r="D91" s="814" t="s">
        <v>677</v>
      </c>
      <c r="E91" s="891">
        <v>0.2</v>
      </c>
      <c r="F91" s="878">
        <v>30</v>
      </c>
    </row>
    <row r="92" spans="1:6" s="874" customFormat="1" ht="24">
      <c r="A92" s="878">
        <v>32</v>
      </c>
      <c r="B92" s="3918" t="s">
        <v>678</v>
      </c>
      <c r="C92" s="878" t="s">
        <v>679</v>
      </c>
      <c r="D92" s="814" t="s">
        <v>680</v>
      </c>
      <c r="E92" s="891">
        <v>0.2</v>
      </c>
      <c r="F92" s="878">
        <v>30</v>
      </c>
    </row>
    <row r="93" spans="1:6" s="874" customFormat="1" ht="36">
      <c r="A93" s="878">
        <v>33</v>
      </c>
      <c r="B93" s="3918"/>
      <c r="C93" s="878" t="s">
        <v>681</v>
      </c>
      <c r="D93" s="814" t="s">
        <v>682</v>
      </c>
      <c r="E93" s="891">
        <v>0.2</v>
      </c>
      <c r="F93" s="878">
        <v>30</v>
      </c>
    </row>
    <row r="94" spans="1:6" s="874" customFormat="1" ht="48">
      <c r="A94" s="878">
        <v>34</v>
      </c>
      <c r="B94" s="3918"/>
      <c r="C94" s="878" t="s">
        <v>683</v>
      </c>
      <c r="D94" s="814" t="s">
        <v>684</v>
      </c>
      <c r="E94" s="891">
        <v>0.2</v>
      </c>
      <c r="F94" s="878">
        <v>30</v>
      </c>
    </row>
    <row r="95" spans="1:6" s="874" customFormat="1" ht="36">
      <c r="A95" s="878">
        <v>35</v>
      </c>
      <c r="B95" s="3918"/>
      <c r="C95" s="878" t="s">
        <v>685</v>
      </c>
      <c r="D95" s="814" t="s">
        <v>686</v>
      </c>
      <c r="E95" s="891">
        <v>0.2</v>
      </c>
      <c r="F95" s="878">
        <v>30</v>
      </c>
    </row>
    <row r="96" spans="1:6" s="874" customFormat="1" ht="48">
      <c r="A96" s="878">
        <v>36</v>
      </c>
      <c r="B96" s="3918"/>
      <c r="C96" s="814" t="s">
        <v>687</v>
      </c>
      <c r="D96" s="814" t="s">
        <v>688</v>
      </c>
      <c r="E96" s="891">
        <v>0.2</v>
      </c>
      <c r="F96" s="878">
        <v>30</v>
      </c>
    </row>
    <row r="97" spans="1:6" s="874" customFormat="1" ht="36">
      <c r="A97" s="878">
        <v>37</v>
      </c>
      <c r="B97" s="3918"/>
      <c r="C97" s="878" t="s">
        <v>689</v>
      </c>
      <c r="D97" s="814" t="s">
        <v>690</v>
      </c>
      <c r="E97" s="891">
        <v>0.2</v>
      </c>
      <c r="F97" s="878">
        <v>30</v>
      </c>
    </row>
    <row r="98" spans="1:6" s="874" customFormat="1" ht="36">
      <c r="A98" s="878">
        <v>38</v>
      </c>
      <c r="B98" s="3918"/>
      <c r="C98" s="878" t="s">
        <v>691</v>
      </c>
      <c r="D98" s="814" t="s">
        <v>692</v>
      </c>
      <c r="E98" s="891">
        <v>0.2</v>
      </c>
      <c r="F98" s="878">
        <v>30</v>
      </c>
    </row>
    <row r="99" spans="1:6" s="874" customFormat="1" ht="36">
      <c r="A99" s="878">
        <v>39</v>
      </c>
      <c r="B99" s="3918" t="s">
        <v>693</v>
      </c>
      <c r="C99" s="878" t="s">
        <v>694</v>
      </c>
      <c r="D99" s="814" t="s">
        <v>695</v>
      </c>
      <c r="E99" s="891">
        <v>0.3</v>
      </c>
      <c r="F99" s="878">
        <v>50</v>
      </c>
    </row>
    <row r="100" spans="1:6" s="874" customFormat="1" ht="24">
      <c r="A100" s="878">
        <v>40</v>
      </c>
      <c r="B100" s="3918"/>
      <c r="C100" s="878" t="s">
        <v>696</v>
      </c>
      <c r="D100" s="814" t="s">
        <v>697</v>
      </c>
      <c r="E100" s="891">
        <v>0.2</v>
      </c>
      <c r="F100" s="878">
        <v>30</v>
      </c>
    </row>
    <row r="101" spans="1:6" s="874" customFormat="1" ht="36">
      <c r="A101" s="878">
        <v>41</v>
      </c>
      <c r="B101" s="391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918" t="s">
        <v>708</v>
      </c>
      <c r="C105" s="878" t="s">
        <v>709</v>
      </c>
      <c r="D105" s="814" t="s">
        <v>710</v>
      </c>
      <c r="E105" s="891">
        <v>0.2</v>
      </c>
      <c r="F105" s="878">
        <v>30</v>
      </c>
    </row>
    <row r="106" spans="1:6" s="874" customFormat="1" ht="36">
      <c r="A106" s="878">
        <v>46</v>
      </c>
      <c r="B106" s="3918"/>
      <c r="C106" s="878" t="s">
        <v>711</v>
      </c>
      <c r="D106" s="814" t="s">
        <v>712</v>
      </c>
      <c r="E106" s="891">
        <v>0.2</v>
      </c>
      <c r="F106" s="878">
        <v>30</v>
      </c>
    </row>
    <row r="107" spans="1:6" s="874" customFormat="1" ht="36">
      <c r="A107" s="878">
        <v>47</v>
      </c>
      <c r="B107" s="3918" t="s">
        <v>713</v>
      </c>
      <c r="C107" s="878" t="s">
        <v>714</v>
      </c>
      <c r="D107" s="814" t="s">
        <v>715</v>
      </c>
      <c r="E107" s="891">
        <v>0.3</v>
      </c>
      <c r="F107" s="878">
        <v>50</v>
      </c>
    </row>
    <row r="108" spans="1:6" s="874" customFormat="1" ht="36">
      <c r="A108" s="878">
        <v>48</v>
      </c>
      <c r="B108" s="391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918" t="s">
        <v>724</v>
      </c>
      <c r="C111" s="878" t="s">
        <v>725</v>
      </c>
      <c r="D111" s="814" t="s">
        <v>726</v>
      </c>
      <c r="E111" s="891">
        <v>0.2</v>
      </c>
      <c r="F111" s="878">
        <v>30</v>
      </c>
    </row>
    <row r="112" spans="1:6" s="874" customFormat="1" ht="24">
      <c r="A112" s="878">
        <v>52</v>
      </c>
      <c r="B112" s="3918"/>
      <c r="C112" s="878" t="s">
        <v>727</v>
      </c>
      <c r="D112" s="814" t="s">
        <v>728</v>
      </c>
      <c r="E112" s="891">
        <v>0.2</v>
      </c>
      <c r="F112" s="878">
        <v>30</v>
      </c>
    </row>
    <row r="113" spans="1:6" s="874" customFormat="1" ht="24">
      <c r="A113" s="878">
        <v>53</v>
      </c>
      <c r="B113" s="391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918" t="s">
        <v>737</v>
      </c>
      <c r="C116" s="878" t="s">
        <v>738</v>
      </c>
      <c r="D116" s="814" t="s">
        <v>739</v>
      </c>
      <c r="E116" s="891">
        <v>0.2</v>
      </c>
      <c r="F116" s="878">
        <v>30</v>
      </c>
    </row>
    <row r="117" spans="1:6" ht="36">
      <c r="A117" s="878">
        <v>57</v>
      </c>
      <c r="B117" s="391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5" sqref="F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10</v>
      </c>
    </row>
    <row r="2" spans="1:33" ht="18" customHeight="1">
      <c r="A2" s="245" t="s">
        <v>2331</v>
      </c>
      <c r="B2" s="248">
        <f ca="1">C32</f>
        <v>260370</v>
      </c>
      <c r="C2" s="320" t="s">
        <v>2464</v>
      </c>
      <c r="D2" s="320"/>
      <c r="E2" s="320"/>
      <c r="F2" s="320"/>
      <c r="G2" s="320"/>
      <c r="H2" s="320"/>
      <c r="I2" s="320"/>
      <c r="J2" s="320"/>
      <c r="K2" s="320"/>
    </row>
    <row r="3" spans="1:33" ht="18" customHeight="1" thickBot="1">
      <c r="A3" s="247" t="s">
        <v>2333</v>
      </c>
      <c r="B3" s="248">
        <f ca="1">ROUND(B2*10000/IF(C1="",'数据-汇总表'!E3,INDIRECT("'数据-取费表'!K"&amp;$K$1)),0)</f>
        <v>32609</v>
      </c>
      <c r="C3" s="320" t="s">
        <v>2465</v>
      </c>
      <c r="D3" s="320"/>
      <c r="E3" s="320"/>
      <c r="F3" s="320"/>
      <c r="G3" s="320"/>
      <c r="H3" s="320"/>
      <c r="I3" s="320"/>
      <c r="J3" s="320"/>
      <c r="K3" s="320"/>
    </row>
    <row r="4" spans="1:33" s="955" customFormat="1" ht="16.5" customHeight="1">
      <c r="A4" s="952" t="s">
        <v>2466</v>
      </c>
      <c r="B4" s="953"/>
      <c r="C4" s="995">
        <f ca="1">SUM(C8:K8)</f>
        <v>290766</v>
      </c>
      <c r="D4" s="953"/>
      <c r="E4" s="953"/>
      <c r="F4" s="953"/>
      <c r="G4" s="953"/>
      <c r="H4" s="953"/>
      <c r="I4" s="953"/>
      <c r="J4" s="953"/>
      <c r="K4" s="954"/>
    </row>
    <row r="5" spans="1:33" s="959" customFormat="1" ht="15">
      <c r="A5" s="956" t="s">
        <v>2467</v>
      </c>
      <c r="B5" s="957" t="s">
        <v>2468</v>
      </c>
      <c r="C5" s="2553" t="s">
        <v>27</v>
      </c>
      <c r="D5" s="2553" t="s">
        <v>1378</v>
      </c>
      <c r="E5" s="2553" t="s">
        <v>3660</v>
      </c>
      <c r="F5" s="2553" t="s">
        <v>3661</v>
      </c>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f ca="1">收益法办公!B3</f>
        <v>43747</v>
      </c>
      <c r="D6" s="961">
        <f>面积表!V7</f>
        <v>35998.769196341163</v>
      </c>
      <c r="E6" s="961">
        <f ca="1">收益法仓储!B3</f>
        <v>5153</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58835.540000000008</v>
      </c>
      <c r="D7" s="321">
        <f>SUMIF('数据-汇总表'!$C19:$C33,假设开发法!D5,'数据-汇总表'!$E19:$E33)</f>
        <v>4980.1000000000004</v>
      </c>
      <c r="E7" s="321">
        <f>SUMIF('数据-汇总表'!$C19:$C33,假设开发法!E5,'数据-汇总表'!$E19:$E33)</f>
        <v>2344.4799999999996</v>
      </c>
      <c r="F7" s="321">
        <f>SUMIF('数据-汇总表'!$C19:$C33,假设开发法!F5,'数据-汇总表'!$E19:$E33)</f>
        <v>3957.15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f ca="1">收益法办公!B2</f>
        <v>257385</v>
      </c>
      <c r="D8" s="996">
        <f>面积表!U7</f>
        <v>32173</v>
      </c>
      <c r="E8" s="996">
        <f ca="1">收益法仓储!B2</f>
        <v>1208</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1335</v>
      </c>
      <c r="B11" s="971" t="s">
        <v>2481</v>
      </c>
      <c r="C11" s="323">
        <f ca="1">IF(C1="",'数据-取费表'!P16,INDIRECT("'数据-取费表'!p"&amp;$K$1)+INDIRECT("'数据-取费表'!ar"&amp;$K$1))</f>
        <v>644</v>
      </c>
      <c r="D11" s="972"/>
      <c r="E11" s="375"/>
      <c r="F11" s="973">
        <f ca="1">1-IF('数据-取费表'!B24=0,1,IF(C1="",'数据-取费表'!N16,INDIRECT("'数据-取费表'!n"&amp;$K$1)))</f>
        <v>2.0000000000000018E-2</v>
      </c>
      <c r="G11" s="8"/>
      <c r="H11" s="967"/>
      <c r="I11" s="967"/>
      <c r="J11" s="967"/>
      <c r="K11" s="968"/>
    </row>
    <row r="12" spans="1:33" s="974" customFormat="1" ht="13.5" customHeight="1">
      <c r="A12" s="970" t="s">
        <v>1336</v>
      </c>
      <c r="B12" s="971" t="s">
        <v>2482</v>
      </c>
      <c r="C12" s="24">
        <f ca="1">ROUND(C11*F12,0)</f>
        <v>19</v>
      </c>
      <c r="D12" s="972"/>
      <c r="E12" s="375"/>
      <c r="F12" s="975">
        <f>'数据-取费表'!B33</f>
        <v>0.03</v>
      </c>
      <c r="G12" s="8" t="s">
        <v>2483</v>
      </c>
      <c r="H12" s="967"/>
      <c r="I12" s="967"/>
      <c r="J12" s="967"/>
      <c r="K12" s="968"/>
    </row>
    <row r="13" spans="1:33" s="974" customFormat="1" ht="13.5" customHeight="1">
      <c r="A13" s="970" t="s">
        <v>1337</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1338</v>
      </c>
      <c r="B14" s="971" t="s">
        <v>2486</v>
      </c>
      <c r="C14" s="24">
        <f ca="1">ROUND(D14*E14*F11/10000,0)</f>
        <v>32</v>
      </c>
      <c r="D14" s="1032">
        <f ca="1">IF(C1="",'数据-汇总表'!E3,INDIRECT("'数据-取费表'!K"&amp;$K$1)+INDIRECT("'数据-取费表'!S"&amp;$K$1))</f>
        <v>79847.06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2488</v>
      </c>
      <c r="C15" s="982">
        <f ca="1">ROUND(C11*F15,0)</f>
        <v>10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705</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79847.06</v>
      </c>
      <c r="E17" s="24">
        <f>'数据-取费表'!B32</f>
        <v>0</v>
      </c>
      <c r="F17" s="977"/>
      <c r="G17" s="140" t="s">
        <v>2492</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2493</v>
      </c>
      <c r="C18" s="24">
        <f ca="1">C19+C20-IF(C1="",'数据-取费表'!B29,IF(G18="已全部缴纳",C19+C20,H18))</f>
        <v>1597</v>
      </c>
      <c r="D18" s="1032"/>
      <c r="E18" s="24"/>
      <c r="F18" s="975"/>
      <c r="G18" s="2555" t="s">
        <v>3677</v>
      </c>
      <c r="H18" s="1577"/>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9"/>
      <c r="I19" s="980"/>
      <c r="J19" s="980"/>
      <c r="K19" s="981"/>
    </row>
    <row r="20" spans="1:33" s="974" customFormat="1" ht="13.5" customHeight="1">
      <c r="A20" s="970" t="s">
        <v>806</v>
      </c>
      <c r="B20" s="971" t="s">
        <v>2496</v>
      </c>
      <c r="C20" s="24">
        <f ca="1">ROUND(D20*E20/10000,0)</f>
        <v>1597</v>
      </c>
      <c r="D20" s="1032">
        <f ca="1">IF(C1="",'数据-汇总表'!E6,IF(INDIRECT("'数据-取费表'!c"&amp;$K$1)="住宅",INDIRECT("'数据-取费表'!s"&amp;$K$1),INDIRECT("'数据-取费表'!k"&amp;$K$1)+INDIRECT("'数据-取费表'!s"&amp;$K$1)))</f>
        <v>79847.06</v>
      </c>
      <c r="E20" s="24">
        <f>'数据-取费表'!B28</f>
        <v>200</v>
      </c>
      <c r="F20" s="975"/>
      <c r="G20" s="15"/>
      <c r="H20" s="980"/>
      <c r="I20" s="980"/>
      <c r="J20" s="980"/>
      <c r="K20" s="981"/>
    </row>
    <row r="21" spans="1:33" s="974" customFormat="1" ht="13.5" customHeight="1">
      <c r="A21" s="960" t="s">
        <v>802</v>
      </c>
      <c r="B21" s="984" t="s">
        <v>2497</v>
      </c>
      <c r="C21" s="985">
        <f ca="1">C16+C17+C18</f>
        <v>2302</v>
      </c>
      <c r="D21" s="986"/>
      <c r="E21" s="325"/>
      <c r="F21" s="325"/>
      <c r="G21" s="140" t="s">
        <v>2498</v>
      </c>
      <c r="H21" s="978"/>
      <c r="I21" s="978"/>
      <c r="J21" s="978"/>
      <c r="K21" s="979"/>
    </row>
    <row r="22" spans="1:33" s="974" customFormat="1" ht="13.5" customHeight="1">
      <c r="A22" s="960" t="s">
        <v>2470</v>
      </c>
      <c r="B22" s="984" t="s">
        <v>2499</v>
      </c>
      <c r="C22" s="985">
        <f ca="1">ROUND(C21*F22,0)</f>
        <v>69</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174</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6</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6</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f ca="1">C30</f>
        <v>611</v>
      </c>
      <c r="D28" s="324">
        <f ca="1">C29</f>
        <v>1.23E-2</v>
      </c>
      <c r="E28" s="326" t="s">
        <v>15</v>
      </c>
      <c r="F28" s="332">
        <f ca="1">IF(C1="",'数据-取费表'!Q16,INDIRECT("'数据-取费表'!q"&amp;$K$1))</f>
        <v>0.24</v>
      </c>
      <c r="G28" s="988"/>
      <c r="H28" s="989"/>
      <c r="I28" s="989"/>
      <c r="J28" s="989"/>
      <c r="K28" s="990"/>
    </row>
    <row r="29" spans="1:33" s="335" customFormat="1" ht="13.5" customHeight="1">
      <c r="A29" s="970" t="s">
        <v>803</v>
      </c>
      <c r="B29" s="993" t="s">
        <v>2512</v>
      </c>
      <c r="C29" s="328">
        <f ca="1">ROUND((1+C24)*F28*'数据-取费表'!B24/'数据-取费表'!B20,4)</f>
        <v>1.23E-2</v>
      </c>
      <c r="D29" s="328"/>
      <c r="E29" s="329"/>
      <c r="F29" s="334"/>
      <c r="G29" s="140" t="s">
        <v>2513</v>
      </c>
      <c r="H29" s="978"/>
      <c r="I29" s="978"/>
      <c r="J29" s="978"/>
      <c r="K29" s="979"/>
    </row>
    <row r="30" spans="1:33" s="335" customFormat="1" ht="13.5" customHeight="1">
      <c r="A30" s="970" t="s">
        <v>804</v>
      </c>
      <c r="B30" s="993" t="s">
        <v>2514</v>
      </c>
      <c r="C30" s="336">
        <f ca="1">ROUND((C21+C22+C23)*F28,0)</f>
        <v>611</v>
      </c>
      <c r="D30" s="328"/>
      <c r="E30" s="329"/>
      <c r="F30" s="334"/>
      <c r="G30" s="140"/>
      <c r="H30" s="978"/>
      <c r="I30" s="978"/>
      <c r="J30" s="978"/>
      <c r="K30" s="979"/>
    </row>
    <row r="31" spans="1:33" s="974" customFormat="1" ht="13.5" customHeight="1" thickBot="1">
      <c r="A31" s="2559" t="s">
        <v>2515</v>
      </c>
      <c r="B31" s="1004" t="s">
        <v>2516</v>
      </c>
      <c r="C31" s="1005">
        <f ca="1">ROUND(C4*F31/(1+'数据-取费表'!C42),0)</f>
        <v>15231</v>
      </c>
      <c r="D31" s="1006"/>
      <c r="E31" s="1007"/>
      <c r="F31" s="1008">
        <f>'数据-取费表'!B41</f>
        <v>5.5000000000000007E-2</v>
      </c>
      <c r="G31" s="1009" t="s">
        <v>2517</v>
      </c>
      <c r="H31" s="1010"/>
      <c r="I31" s="1010"/>
      <c r="J31" s="1010"/>
      <c r="K31" s="1011"/>
    </row>
    <row r="32" spans="1:33" s="969" customFormat="1" ht="13.5" customHeight="1" thickBot="1">
      <c r="A32" s="999" t="s">
        <v>2518</v>
      </c>
      <c r="B32" s="1000"/>
      <c r="C32" s="1001">
        <f ca="1">ROUND((C4-C21-C22-C23-C25-C28-C31)/(1+C24+D25+D28),0)</f>
        <v>260370</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activeCell="C29" sqref="C29"/>
    </sheetView>
  </sheetViews>
  <sheetFormatPr defaultColWidth="12" defaultRowHeight="12"/>
  <cols>
    <col min="1" max="1" width="9.75" style="3090" customWidth="1"/>
    <col min="2" max="2" width="19.25" style="3256" customWidth="1"/>
    <col min="3" max="4" width="12" style="2972"/>
    <col min="5" max="5" width="14.625" style="2972" customWidth="1"/>
    <col min="6" max="8" width="12" style="2972"/>
    <col min="9" max="9" width="12.25" style="2972" bestFit="1" customWidth="1"/>
    <col min="10" max="10" width="12" style="2972"/>
    <col min="11" max="11" width="8.125" style="3075" customWidth="1"/>
    <col min="12" max="12" width="12" style="2972"/>
    <col min="13" max="13" width="8.5" style="2972" customWidth="1"/>
    <col min="14" max="14" width="9.75" style="2972" customWidth="1"/>
    <col min="15" max="25" width="12" style="2972"/>
    <col min="26" max="26" width="9.375" style="3090" customWidth="1"/>
    <col min="27" max="32" width="9.375" style="3089" customWidth="1"/>
    <col min="33" max="36" width="9.375" style="3090" customWidth="1"/>
    <col min="37" max="38" width="9.375" style="2972" customWidth="1"/>
    <col min="39" max="16384" width="12" style="2972"/>
  </cols>
  <sheetData>
    <row r="1" spans="1:36" ht="28.5">
      <c r="A1" s="2957" t="s">
        <v>3052</v>
      </c>
      <c r="B1" s="2958"/>
      <c r="C1" s="2959" t="s">
        <v>3053</v>
      </c>
      <c r="D1" s="2960">
        <f>SUM(D29:D30,D33:D39)</f>
        <v>64988.499999999993</v>
      </c>
      <c r="E1" s="2961"/>
      <c r="F1" s="2961"/>
      <c r="G1" s="2961"/>
      <c r="H1" s="2961"/>
      <c r="I1" s="2961"/>
      <c r="J1" s="2961"/>
      <c r="K1" s="2962"/>
      <c r="L1" s="2963" t="s">
        <v>212</v>
      </c>
      <c r="M1" s="2964">
        <f>SUMPRODUCT(([1]区片价!B5:B9=I2)*([1]区片价!C3:F3=E2)*([1]区片价!C5:F9))</f>
        <v>0</v>
      </c>
      <c r="N1" s="2965">
        <f>SUMPRODUCT(([1]因素修正幅度!B5:B9=I2)*([1]因素修正幅度!C3:F3=E2)*([1]因素修正幅度!C5:F9))</f>
        <v>0</v>
      </c>
      <c r="O1" s="2966"/>
      <c r="P1" s="2966"/>
      <c r="Q1" s="2962"/>
      <c r="R1" s="2967" t="s">
        <v>3054</v>
      </c>
      <c r="S1" s="2967" t="s">
        <v>3055</v>
      </c>
      <c r="T1" s="2967" t="s">
        <v>3056</v>
      </c>
      <c r="U1" s="2967" t="s">
        <v>3057</v>
      </c>
      <c r="V1" s="2967" t="s">
        <v>3058</v>
      </c>
      <c r="W1" s="2968"/>
      <c r="X1" s="2968"/>
      <c r="Y1" s="2968"/>
      <c r="Z1" s="2968"/>
      <c r="AA1" s="2968"/>
      <c r="AB1" s="2968"/>
      <c r="AC1" s="2969"/>
      <c r="AD1" s="2970"/>
      <c r="AE1" s="2970"/>
      <c r="AF1" s="2970"/>
      <c r="AG1" s="2970"/>
      <c r="AH1" s="2970"/>
      <c r="AI1" s="2970"/>
      <c r="AJ1" s="2971"/>
    </row>
    <row r="2" spans="1:36" ht="15.75">
      <c r="A2" s="2959" t="s">
        <v>3059</v>
      </c>
      <c r="B2" s="248" t="e">
        <f>C26</f>
        <v>#VALUE!</v>
      </c>
      <c r="C2" s="2973" t="s">
        <v>3060</v>
      </c>
      <c r="D2" s="2974" t="s">
        <v>3061</v>
      </c>
      <c r="E2" s="2975" t="s">
        <v>27</v>
      </c>
      <c r="F2" s="2974" t="s">
        <v>3062</v>
      </c>
      <c r="G2" s="2976" t="str">
        <f>IF(E2="商业",[1]项目基本情况!B37,IF(E2="办公",[1]项目基本情况!C37,IF(E2="住宅",[1]项目基本情况!D37,[1]项目基本情况!E37)))</f>
        <v>六级</v>
      </c>
      <c r="H2" s="2974" t="s">
        <v>3063</v>
      </c>
      <c r="I2" s="2976" t="str">
        <f>IF(E2="商业",[1]项目基本情况!B38,IF(E2="办公",[1]项目基本情况!C38,IF(E2="住宅",[1]项目基本情况!D38,[1]项目基本情况!E38)))</f>
        <v>Ⅵ-亦1</v>
      </c>
      <c r="J2" s="2977"/>
      <c r="K2" s="2962"/>
      <c r="L2" s="2978" t="s">
        <v>269</v>
      </c>
      <c r="M2" s="2979">
        <f>SUMPRODUCT(([1]区片价!B10:B28=I2)*([1]区片价!C3:F3=E2)*([1]区片价!C10:F28))</f>
        <v>0</v>
      </c>
      <c r="N2" s="2965">
        <f>SUMPRODUCT(([1]因素修正幅度!B10:B28=I2)*([1]因素修正幅度!C3:F3=E2)*([1]因素修正幅度!C10:F28))</f>
        <v>0</v>
      </c>
      <c r="O2" s="2962"/>
      <c r="P2" s="2962"/>
      <c r="Q2" s="2962"/>
      <c r="R2" s="1602">
        <v>1</v>
      </c>
      <c r="S2" s="1602">
        <f>ROUND(IF(G3&gt;1,IF(R2&lt;7,SUMPRODUCT((B93:B98=R2)*(C92:N92=G2)*(C93:N98)),SUMIF(C92:N92,G2,C100:N100)),IF(R2&lt;7,SUMPRODUCT((B102:B107=R2)*(C92:N92=G2)*(C102:N107)),SUMIF(C92:N92,G2,C109:N109))),4)</f>
        <v>1.8629</v>
      </c>
      <c r="T2" s="1602" t="e">
        <f>ROUND($C$5*$C$18*$C$19*$C$20*S2*$C$24,0)</f>
        <v>#VALUE!</v>
      </c>
      <c r="U2" s="1603"/>
      <c r="V2" s="1602" t="e">
        <f>ROUND(T2*U2/10000,0)</f>
        <v>#VALUE!</v>
      </c>
      <c r="W2" s="2968"/>
      <c r="X2" s="2968"/>
      <c r="Y2" s="2968"/>
      <c r="Z2" s="2968"/>
      <c r="AA2" s="2968"/>
      <c r="AB2" s="2968"/>
      <c r="AC2" s="2969"/>
      <c r="AD2" s="2970"/>
      <c r="AE2" s="2970"/>
      <c r="AF2" s="2970"/>
      <c r="AG2" s="2970"/>
      <c r="AH2" s="2970"/>
      <c r="AI2" s="2970"/>
      <c r="AJ2" s="2971"/>
    </row>
    <row r="3" spans="1:36" ht="24">
      <c r="A3" s="2980" t="s">
        <v>3064</v>
      </c>
      <c r="B3" s="248" t="e">
        <f>ROUND(B2*10000/D1,0)</f>
        <v>#VALUE!</v>
      </c>
      <c r="C3" s="2973" t="s">
        <v>3065</v>
      </c>
      <c r="D3" s="2974" t="s">
        <v>3066</v>
      </c>
      <c r="E3" s="2981" t="s">
        <v>3067</v>
      </c>
      <c r="F3" s="2982" t="s">
        <v>3068</v>
      </c>
      <c r="G3" s="2983">
        <f>IF(F3="宗地容积率",'[1]数据-汇总表'!I4,IF(F3="估价对象容积率",'[1]数据-汇总表'!I6,'[1]数据-汇总表'!I7))</f>
        <v>4.71</v>
      </c>
      <c r="H3" s="2984" t="s">
        <v>3069</v>
      </c>
      <c r="I3" s="2985"/>
      <c r="J3" s="2977" t="s">
        <v>3070</v>
      </c>
      <c r="K3" s="2962"/>
      <c r="L3" s="2978" t="s">
        <v>442</v>
      </c>
      <c r="M3" s="2979">
        <f>SUMPRODUCT(([1]区片价!B29:B48=I2)*([1]区片价!C3:F3=E2)*([1]区片价!C29:F48))</f>
        <v>0</v>
      </c>
      <c r="N3" s="2965">
        <f>SUMPRODUCT(([1]因素修正幅度!B29:B48=I2)*([1]因素修正幅度!C3:F3=E2)*([1]因素修正幅度!C29:F48))</f>
        <v>0</v>
      </c>
      <c r="O3" s="2962"/>
      <c r="P3" s="2962"/>
      <c r="Q3" s="2962"/>
      <c r="R3" s="1602">
        <v>2</v>
      </c>
      <c r="S3" s="1602">
        <f>ROUND(IF(G3&gt;1,IF(R3&lt;7,SUMPRODUCT((B93:B98=R3)*(C92:N92=G2)*(C93:N98)),SUMIF(C92:N92,G2,C100:N100)),IF(R3&lt;7,SUMPRODUCT((B102:B107=R3)*(C92:N92=G2)*(C102:N107)),SUMIF(C92:N92,G2,C109:N109))),4)</f>
        <v>1.3371999999999999</v>
      </c>
      <c r="T3" s="1602" t="e">
        <f t="shared" ref="T3:T16" si="0">ROUND($C$5*$C$18*$C$19*$C$20*S3*$C$24,0)</f>
        <v>#VALUE!</v>
      </c>
      <c r="U3" s="1603"/>
      <c r="V3" s="1602" t="e">
        <f t="shared" ref="V3:V16" si="1">ROUND(T3*U3/10000,0)</f>
        <v>#VALUE!</v>
      </c>
      <c r="W3" s="2968"/>
      <c r="X3" s="2968"/>
      <c r="Y3" s="2968"/>
      <c r="Z3" s="2968"/>
      <c r="AA3" s="2968"/>
      <c r="AB3" s="2968"/>
      <c r="AC3" s="2969"/>
      <c r="AD3" s="2970"/>
      <c r="AE3" s="2970"/>
      <c r="AF3" s="2970"/>
      <c r="AG3" s="2970"/>
      <c r="AH3" s="2970"/>
      <c r="AI3" s="2970"/>
      <c r="AJ3" s="2971"/>
    </row>
    <row r="4" spans="1:36" ht="15">
      <c r="A4" s="3929"/>
      <c r="B4" s="3930"/>
      <c r="C4" s="3930"/>
      <c r="D4" s="3931"/>
      <c r="E4" s="3931"/>
      <c r="F4" s="3931"/>
      <c r="G4" s="3931"/>
      <c r="H4" s="3931"/>
      <c r="I4" s="3931"/>
      <c r="J4" s="3932"/>
      <c r="K4" s="2962"/>
      <c r="L4" s="2978" t="s">
        <v>137</v>
      </c>
      <c r="M4" s="2979">
        <f>SUMPRODUCT(([1]区片价!B49:B75=I2)*([1]区片价!C3:F3=E2)*([1]区片价!C49:F75))</f>
        <v>0</v>
      </c>
      <c r="N4" s="2965">
        <f>SUMPRODUCT(([1]因素修正幅度!B49:B75=I2)*([1]因素修正幅度!C3:F3=E2)*([1]因素修正幅度!C49:F75))</f>
        <v>0</v>
      </c>
      <c r="O4" s="2962"/>
      <c r="P4" s="2962"/>
      <c r="Q4" s="2962"/>
      <c r="R4" s="1602">
        <v>3</v>
      </c>
      <c r="S4" s="1602">
        <f>ROUND(IF(G3&gt;1,IF(R4&lt;7,SUMPRODUCT((B93:B98=R4)*(C92:N92=G2)*(C93:N98)),SUMIF(C92:N92,G2,C100:N100)),IF(R4&lt;7,SUMPRODUCT((B102:B107=R4)*(C92:N92=G2)*(C102:N107)),SUMIF(C92:N92,G2,C109:N109))),4)</f>
        <v>1.0788</v>
      </c>
      <c r="T4" s="1602" t="e">
        <f t="shared" si="0"/>
        <v>#VALUE!</v>
      </c>
      <c r="U4" s="1603"/>
      <c r="V4" s="1602" t="e">
        <f t="shared" si="1"/>
        <v>#VALUE!</v>
      </c>
      <c r="W4" s="2968"/>
      <c r="X4" s="2968"/>
      <c r="Y4" s="2968"/>
      <c r="Z4" s="2968"/>
      <c r="AA4" s="2968"/>
      <c r="AB4" s="2968"/>
      <c r="AC4" s="2969"/>
      <c r="AD4" s="2970"/>
      <c r="AE4" s="2970"/>
      <c r="AF4" s="2970"/>
      <c r="AG4" s="2970"/>
      <c r="AH4" s="2970"/>
      <c r="AI4" s="2970"/>
      <c r="AJ4" s="2971"/>
    </row>
    <row r="5" spans="1:36" s="2997" customFormat="1" ht="15.75" thickBot="1">
      <c r="A5" s="2986" t="s">
        <v>3071</v>
      </c>
      <c r="B5" s="2987" t="s">
        <v>3072</v>
      </c>
      <c r="C5" s="2988">
        <f>ROUND(IF(E2="商业",IF(F16="增加",C6*C7+C16,C6*C7-C16),IF(E2="住宅",IF(F16="增加",C6*C12+C16,C6*C12-C16),IF(F16="增加",C6+C16,C6-C16))),0)</f>
        <v>9750</v>
      </c>
      <c r="D5" s="2989"/>
      <c r="E5" s="2990"/>
      <c r="F5" s="2990"/>
      <c r="G5" s="2991"/>
      <c r="H5" s="2991"/>
      <c r="I5" s="2991"/>
      <c r="J5" s="2992"/>
      <c r="K5" s="2993"/>
      <c r="L5" s="2978" t="s">
        <v>523</v>
      </c>
      <c r="M5" s="2979">
        <f>SUMPRODUCT(([1]区片价!B76:B109=I2)*([1]区片价!C3:F3=E2)*([1]区片价!C76:F109))</f>
        <v>0</v>
      </c>
      <c r="N5" s="2965">
        <f>SUMPRODUCT(([1]因素修正幅度!B76:B109=I2)*([1]因素修正幅度!C3:F3=E2)*([1]因素修正幅度!C76:F109))</f>
        <v>0</v>
      </c>
      <c r="O5" s="2962"/>
      <c r="P5" s="2962"/>
      <c r="Q5" s="2962"/>
      <c r="R5" s="1602">
        <v>4</v>
      </c>
      <c r="S5" s="1602">
        <f>ROUND(IF(G3&gt;1,IF(R5&lt;7,SUMPRODUCT((B93:B98=R5)*(C92:N92=G2)*(C93:N98)),SUMIF(C92:N92,G2,C100:N100)),IF(R5&lt;7,SUMPRODUCT((B102:B107=R5)*(C92:N92=G2)*(C102:N107)),SUMIF(C92:N92,G2,C109:N109))),4)</f>
        <v>0.86560000000000004</v>
      </c>
      <c r="T5" s="1602" t="e">
        <f t="shared" si="0"/>
        <v>#VALUE!</v>
      </c>
      <c r="U5" s="1603"/>
      <c r="V5" s="1602" t="e">
        <f t="shared" si="1"/>
        <v>#VALUE!</v>
      </c>
      <c r="W5" s="2968"/>
      <c r="X5" s="2968"/>
      <c r="Y5" s="2968"/>
      <c r="Z5" s="2968"/>
      <c r="AA5" s="2968"/>
      <c r="AB5" s="2968"/>
      <c r="AC5" s="2994"/>
      <c r="AD5" s="2995"/>
      <c r="AE5" s="2995"/>
      <c r="AF5" s="2995"/>
      <c r="AG5" s="2995"/>
      <c r="AH5" s="2995"/>
      <c r="AI5" s="2995"/>
      <c r="AJ5" s="2996"/>
    </row>
    <row r="6" spans="1:36" ht="15.75" thickBot="1">
      <c r="A6" s="2998" t="s">
        <v>3073</v>
      </c>
      <c r="B6" s="2999" t="s">
        <v>3072</v>
      </c>
      <c r="C6" s="3000">
        <f>SUMIF(L1:L12,G2,M1:M12)</f>
        <v>9750</v>
      </c>
      <c r="D6" s="3001" t="s">
        <v>3074</v>
      </c>
      <c r="E6" s="3002"/>
      <c r="F6" s="3002"/>
      <c r="G6" s="3003"/>
      <c r="H6" s="3003"/>
      <c r="I6" s="3003"/>
      <c r="J6" s="3004"/>
      <c r="K6" s="3005"/>
      <c r="L6" s="2978" t="s">
        <v>56</v>
      </c>
      <c r="M6" s="2979">
        <f>SUMPRODUCT(([1]区片价!B110:B157=I2)*([1]区片价!C3:F3=E2)*([1]区片价!C110:F157))</f>
        <v>9750</v>
      </c>
      <c r="N6" s="2965">
        <f>SUMPRODUCT(([1]因素修正幅度!B110:B157=I2)*([1]因素修正幅度!C3:F3=E2)*([1]因素修正幅度!C110:F157))</f>
        <v>0.126</v>
      </c>
      <c r="O6" s="2962"/>
      <c r="P6" s="2962"/>
      <c r="Q6" s="2962"/>
      <c r="R6" s="1602">
        <v>5</v>
      </c>
      <c r="S6" s="1602">
        <f>ROUND(IF(G3&gt;1,IF(R6&lt;7,SUMPRODUCT((B93:B98=R6)*(C92:N92=G2)*(C93:N98)),SUMIF(C92:N92,G2,C100:N100)),IF(R6&lt;7,SUMPRODUCT((B102:B107=R6)*(C92:N92=G2)*(C102:N107)),SUMIF(C92:N92,G2,C109:N109))),4)</f>
        <v>0.73709999999999998</v>
      </c>
      <c r="T6" s="1602" t="e">
        <f t="shared" si="0"/>
        <v>#VALUE!</v>
      </c>
      <c r="U6" s="1603"/>
      <c r="V6" s="1602" t="e">
        <f t="shared" si="1"/>
        <v>#VALUE!</v>
      </c>
      <c r="W6" s="2968"/>
      <c r="X6" s="2968"/>
      <c r="Y6" s="2968"/>
      <c r="Z6" s="2968"/>
      <c r="AA6" s="2968"/>
      <c r="AB6" s="2968"/>
      <c r="AC6" s="2994"/>
      <c r="AD6" s="2995"/>
      <c r="AE6" s="2995"/>
      <c r="AF6" s="2995"/>
      <c r="AG6" s="2995"/>
      <c r="AH6" s="2995"/>
      <c r="AI6" s="2995"/>
      <c r="AJ6" s="2996"/>
    </row>
    <row r="7" spans="1:36" ht="24">
      <c r="A7" s="3920" t="str">
        <f>IF(E2="商业",IF(C8="不临58条商业街","",2),"")</f>
        <v/>
      </c>
      <c r="B7" s="3006" t="s">
        <v>3075</v>
      </c>
      <c r="C7" s="3007">
        <f>IF(C8="不临58条商业街",1,ROUND(1+(1.6*E8+1.2*E9+0.8*E10+0.4*E11)*C9,4))</f>
        <v>1</v>
      </c>
      <c r="D7" s="3008" t="s">
        <v>3076</v>
      </c>
      <c r="E7" s="3009">
        <v>60</v>
      </c>
      <c r="F7" s="3010"/>
      <c r="G7" s="3011"/>
      <c r="H7" s="3011"/>
      <c r="I7" s="3011"/>
      <c r="J7" s="3012"/>
      <c r="K7" s="3005"/>
      <c r="L7" s="2978" t="s">
        <v>526</v>
      </c>
      <c r="M7" s="2979">
        <f>SUMPRODUCT(([1]区片价!B158:B205=I2)*([1]区片价!C3:F3=E2)*([1]区片价!C158:F205))</f>
        <v>0</v>
      </c>
      <c r="N7" s="2965">
        <f>SUMPRODUCT(([1]因素修正幅度!B158:B205=I2)*([1]因素修正幅度!C3:F3=E2)*([1]因素修正幅度!C158:F205))</f>
        <v>0</v>
      </c>
      <c r="O7" s="2962"/>
      <c r="P7" s="2962"/>
      <c r="Q7" s="2962"/>
      <c r="R7" s="1602">
        <v>6</v>
      </c>
      <c r="S7" s="1602">
        <f>ROUND(IF(G3&gt;1,IF(R7&lt;7,SUMPRODUCT((B93:B98=R7)*(C92:N92=G2)*(C93:N98)),SUMIF(C92:N92,G2,C100:N100)),IF(R7&lt;7,SUMPRODUCT((B102:B107=R7)*(C92:N92=G2)*(C102:N107)),SUMIF(C92:N92,G2,C109:N109))),4)</f>
        <v>0.6482</v>
      </c>
      <c r="T7" s="1602" t="e">
        <f t="shared" si="0"/>
        <v>#VALUE!</v>
      </c>
      <c r="U7" s="1603"/>
      <c r="V7" s="1602" t="e">
        <f t="shared" si="1"/>
        <v>#VALUE!</v>
      </c>
      <c r="W7" s="2947" t="s">
        <v>3077</v>
      </c>
      <c r="X7" s="1604" t="str">
        <f>G2</f>
        <v>六级</v>
      </c>
      <c r="Y7" s="1604" t="s">
        <v>3078</v>
      </c>
      <c r="Z7" s="1605">
        <f>G3</f>
        <v>4.71</v>
      </c>
      <c r="AA7" s="1606"/>
      <c r="AB7" s="1606"/>
      <c r="AC7" s="1607"/>
      <c r="AD7" s="1608"/>
      <c r="AE7" s="1608"/>
      <c r="AF7" s="1608"/>
      <c r="AG7" s="1608"/>
      <c r="AH7" s="1608"/>
      <c r="AI7" s="1608"/>
      <c r="AJ7" s="1609"/>
    </row>
    <row r="8" spans="1:36" ht="24">
      <c r="A8" s="3921"/>
      <c r="B8" s="2984" t="s">
        <v>3079</v>
      </c>
      <c r="C8" s="3013" t="s">
        <v>3080</v>
      </c>
      <c r="D8" s="3014" t="s">
        <v>3081</v>
      </c>
      <c r="E8" s="3015" t="e">
        <f>ROUND(C11/E7,4)</f>
        <v>#VALUE!</v>
      </c>
      <c r="F8" s="3016" t="s">
        <v>3082</v>
      </c>
      <c r="G8" s="3017"/>
      <c r="H8" s="3017"/>
      <c r="I8" s="3017"/>
      <c r="J8" s="3018"/>
      <c r="K8" s="2962"/>
      <c r="L8" s="2978" t="s">
        <v>528</v>
      </c>
      <c r="M8" s="2979">
        <f>SUMPRODUCT(([1]区片价!B206:B244=I2)*([1]区片价!C3:F3=E2)*([1]区片价!C206:F244))</f>
        <v>0</v>
      </c>
      <c r="N8" s="2965">
        <f>SUMPRODUCT(([1]因素修正幅度!B206:B244=I2)*([1]因素修正幅度!C3:F3=E2)*([1]因素修正幅度!C206:F244))</f>
        <v>0</v>
      </c>
      <c r="O8" s="2962"/>
      <c r="P8" s="2962"/>
      <c r="Q8" s="2962"/>
      <c r="R8" s="1602">
        <v>7</v>
      </c>
      <c r="S8" s="1603">
        <v>0.64729999999999999</v>
      </c>
      <c r="T8" s="1602" t="e">
        <f t="shared" si="0"/>
        <v>#VALUE!</v>
      </c>
      <c r="U8" s="1603"/>
      <c r="V8" s="1602" t="e">
        <f t="shared" si="1"/>
        <v>#VALUE!</v>
      </c>
      <c r="W8" s="3933" t="s">
        <v>3083</v>
      </c>
      <c r="X8" s="3899"/>
      <c r="Y8" s="1610" t="s">
        <v>3084</v>
      </c>
      <c r="Z8" s="1610" t="s">
        <v>3085</v>
      </c>
      <c r="AA8" s="1610" t="s">
        <v>3086</v>
      </c>
      <c r="AB8" s="1610" t="s">
        <v>3087</v>
      </c>
      <c r="AC8" s="1610" t="s">
        <v>3088</v>
      </c>
      <c r="AD8" s="1610" t="s">
        <v>3089</v>
      </c>
      <c r="AE8" s="1610" t="s">
        <v>3090</v>
      </c>
      <c r="AF8" s="1610" t="s">
        <v>3091</v>
      </c>
      <c r="AG8" s="1610" t="s">
        <v>3092</v>
      </c>
      <c r="AH8" s="1610" t="s">
        <v>3093</v>
      </c>
      <c r="AI8" s="1610" t="s">
        <v>3094</v>
      </c>
      <c r="AJ8" s="1610" t="s">
        <v>3095</v>
      </c>
    </row>
    <row r="9" spans="1:36" ht="15">
      <c r="A9" s="3921"/>
      <c r="B9" s="2984" t="s">
        <v>3096</v>
      </c>
      <c r="C9" s="3019" t="e">
        <f>SUMIF([1]修正!C59:C119,C8,[1]修正!E59:E119)</f>
        <v>#VALUE!</v>
      </c>
      <c r="D9" s="3020" t="s">
        <v>140</v>
      </c>
      <c r="E9" s="3020" t="e">
        <f>ROUND(C11/E7,4)</f>
        <v>#VALUE!</v>
      </c>
      <c r="F9" s="3016" t="s">
        <v>3097</v>
      </c>
      <c r="G9" s="3017"/>
      <c r="H9" s="3017"/>
      <c r="I9" s="3017"/>
      <c r="J9" s="3018"/>
      <c r="K9" s="2962"/>
      <c r="L9" s="2978" t="s">
        <v>530</v>
      </c>
      <c r="M9" s="2979">
        <f>SUMPRODUCT(([1]区片价!B245:B289=I2)*([1]区片价!C3:F3=E2)*([1]区片价!C245:F289))</f>
        <v>0</v>
      </c>
      <c r="N9" s="2965">
        <f>SUMPRODUCT(([1]因素修正幅度!B245:B289=I2)*([1]因素修正幅度!C3:F3=E2)*([1]因素修正幅度!C245:F289))</f>
        <v>0</v>
      </c>
      <c r="O9" s="2962"/>
      <c r="P9" s="2962"/>
      <c r="Q9" s="2962"/>
      <c r="R9" s="1602">
        <v>8</v>
      </c>
      <c r="S9" s="1603">
        <v>0.64629999999999999</v>
      </c>
      <c r="T9" s="1602" t="e">
        <f t="shared" si="0"/>
        <v>#VALUE!</v>
      </c>
      <c r="U9" s="1603"/>
      <c r="V9" s="1602" t="e">
        <f t="shared" si="1"/>
        <v>#VALUE!</v>
      </c>
      <c r="W9" s="3900" t="s">
        <v>3098</v>
      </c>
      <c r="X9" s="1611" t="s">
        <v>3099</v>
      </c>
      <c r="Y9" s="3021">
        <v>15</v>
      </c>
      <c r="Z9" s="1612">
        <f>$Y$9</f>
        <v>15</v>
      </c>
      <c r="AA9" s="1612">
        <f t="shared" ref="AA9:AJ9" si="2">$Y$9</f>
        <v>15</v>
      </c>
      <c r="AB9" s="1612">
        <f t="shared" si="2"/>
        <v>15</v>
      </c>
      <c r="AC9" s="1612">
        <f t="shared" si="2"/>
        <v>15</v>
      </c>
      <c r="AD9" s="1612">
        <f t="shared" si="2"/>
        <v>15</v>
      </c>
      <c r="AE9" s="1612">
        <f t="shared" si="2"/>
        <v>15</v>
      </c>
      <c r="AF9" s="1612">
        <f t="shared" si="2"/>
        <v>15</v>
      </c>
      <c r="AG9" s="1612">
        <f t="shared" si="2"/>
        <v>15</v>
      </c>
      <c r="AH9" s="1612">
        <f t="shared" si="2"/>
        <v>15</v>
      </c>
      <c r="AI9" s="1612">
        <f t="shared" si="2"/>
        <v>15</v>
      </c>
      <c r="AJ9" s="1612">
        <f t="shared" si="2"/>
        <v>15</v>
      </c>
    </row>
    <row r="10" spans="1:36" ht="15">
      <c r="A10" s="3921"/>
      <c r="B10" s="2984" t="s">
        <v>3100</v>
      </c>
      <c r="C10" s="3020" t="e">
        <f>SUMIF([1]修正!C59:C119,C8,[1]修正!F59:F119)</f>
        <v>#VALUE!</v>
      </c>
      <c r="D10" s="3020" t="s">
        <v>141</v>
      </c>
      <c r="E10" s="3020" t="e">
        <f>ROUND(C11/E7,4)</f>
        <v>#VALUE!</v>
      </c>
      <c r="F10" s="3016" t="s">
        <v>3101</v>
      </c>
      <c r="G10" s="3017"/>
      <c r="H10" s="3017"/>
      <c r="I10" s="3017"/>
      <c r="J10" s="3018"/>
      <c r="K10" s="2962"/>
      <c r="L10" s="2978" t="s">
        <v>534</v>
      </c>
      <c r="M10" s="2979">
        <f>SUMPRODUCT(([1]区片价!B290:B316=I2)*([1]区片价!C3:F3=E2)*([1]区片价!C290:F316))</f>
        <v>0</v>
      </c>
      <c r="N10" s="2965">
        <f>SUMPRODUCT(([1]因素修正幅度!B290:B316=I2)*([1]因素修正幅度!C3:F3=E2)*([1]因素修正幅度!C290:F316))</f>
        <v>0</v>
      </c>
      <c r="O10" s="2962"/>
      <c r="P10" s="2962"/>
      <c r="Q10" s="2962"/>
      <c r="R10" s="1602">
        <v>9</v>
      </c>
      <c r="S10" s="1603">
        <v>0.6452</v>
      </c>
      <c r="T10" s="1602" t="e">
        <f t="shared" si="0"/>
        <v>#VALUE!</v>
      </c>
      <c r="U10" s="1603"/>
      <c r="V10" s="1602" t="e">
        <f t="shared" si="1"/>
        <v>#VALUE!</v>
      </c>
      <c r="W10" s="3900"/>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921"/>
      <c r="B11" s="3022" t="s">
        <v>3102</v>
      </c>
      <c r="C11" s="3023" t="e">
        <f>C10/4</f>
        <v>#VALUE!</v>
      </c>
      <c r="D11" s="3023" t="s">
        <v>142</v>
      </c>
      <c r="E11" s="3023" t="e">
        <f>ROUND(C11/E7,4)</f>
        <v>#VALUE!</v>
      </c>
      <c r="F11" s="3024" t="s">
        <v>3103</v>
      </c>
      <c r="G11" s="3025"/>
      <c r="H11" s="3025"/>
      <c r="I11" s="3025"/>
      <c r="J11" s="3026"/>
      <c r="K11" s="2962"/>
      <c r="L11" s="2978" t="s">
        <v>814</v>
      </c>
      <c r="M11" s="2979">
        <f>SUMPRODUCT(([1]区片价!B317:B337=I2)*([1]区片价!C3:F3=E2)*([1]区片价!C317:F337))</f>
        <v>0</v>
      </c>
      <c r="N11" s="2965">
        <f>SUMPRODUCT(([1]因素修正幅度!B317:B337=I2)*([1]因素修正幅度!C3:F3=E2)*([1]因素修正幅度!C317:F337))</f>
        <v>0</v>
      </c>
      <c r="O11" s="2962"/>
      <c r="P11" s="2962"/>
      <c r="Q11" s="2962"/>
      <c r="R11" s="1602">
        <v>10</v>
      </c>
      <c r="S11" s="1603">
        <v>0.64419999999999999</v>
      </c>
      <c r="T11" s="1602" t="e">
        <f t="shared" si="0"/>
        <v>#VALUE!</v>
      </c>
      <c r="U11" s="1603"/>
      <c r="V11" s="1602" t="e">
        <f t="shared" si="1"/>
        <v>#VALUE!</v>
      </c>
      <c r="W11" s="3900" t="s">
        <v>3104</v>
      </c>
      <c r="X11" s="1614" t="s">
        <v>3078</v>
      </c>
      <c r="Y11" s="1615">
        <f>$G$3</f>
        <v>4.71</v>
      </c>
      <c r="Z11" s="1615">
        <f t="shared" ref="Z11:AJ11" si="3">$G$3</f>
        <v>4.71</v>
      </c>
      <c r="AA11" s="1615">
        <f t="shared" si="3"/>
        <v>4.71</v>
      </c>
      <c r="AB11" s="1615">
        <f t="shared" si="3"/>
        <v>4.71</v>
      </c>
      <c r="AC11" s="1615">
        <f t="shared" si="3"/>
        <v>4.71</v>
      </c>
      <c r="AD11" s="1615">
        <f t="shared" si="3"/>
        <v>4.71</v>
      </c>
      <c r="AE11" s="1615">
        <f t="shared" si="3"/>
        <v>4.71</v>
      </c>
      <c r="AF11" s="1615">
        <f t="shared" si="3"/>
        <v>4.71</v>
      </c>
      <c r="AG11" s="1615">
        <f t="shared" si="3"/>
        <v>4.71</v>
      </c>
      <c r="AH11" s="1615">
        <f t="shared" si="3"/>
        <v>4.71</v>
      </c>
      <c r="AI11" s="1615">
        <f t="shared" si="3"/>
        <v>4.71</v>
      </c>
      <c r="AJ11" s="1615">
        <f t="shared" si="3"/>
        <v>4.71</v>
      </c>
    </row>
    <row r="12" spans="1:36" ht="26.25" thickBot="1">
      <c r="A12" s="3920" t="s">
        <v>3105</v>
      </c>
      <c r="B12" s="3027" t="s">
        <v>3106</v>
      </c>
      <c r="C12" s="3007">
        <f>ROUND(C15*D15*E15*F15*G15*H15*I15*J15,4)</f>
        <v>1</v>
      </c>
      <c r="D12" s="3028" t="s">
        <v>3107</v>
      </c>
      <c r="E12" s="3029"/>
      <c r="F12" s="3029"/>
      <c r="G12" s="3030"/>
      <c r="H12" s="3030"/>
      <c r="I12" s="3030"/>
      <c r="J12" s="3031"/>
      <c r="K12" s="2962"/>
      <c r="L12" s="3032" t="s">
        <v>815</v>
      </c>
      <c r="M12" s="3033">
        <f>SUMPRODUCT(([1]区片价!B338:B344=I2)*([1]区片价!C3:F3=E2)*([1]区片价!C338:F344))</f>
        <v>0</v>
      </c>
      <c r="N12" s="2965">
        <f>SUMPRODUCT(([1]因素修正幅度!B338:B344=I2)*([1]因素修正幅度!C3:F3=E2)*([1]因素修正幅度!C338:F344))</f>
        <v>0</v>
      </c>
      <c r="O12" s="2962"/>
      <c r="P12" s="2962"/>
      <c r="Q12" s="2962"/>
      <c r="R12" s="1602">
        <v>11</v>
      </c>
      <c r="S12" s="1603">
        <v>0.6431</v>
      </c>
      <c r="T12" s="1602" t="e">
        <f t="shared" si="0"/>
        <v>#VALUE!</v>
      </c>
      <c r="U12" s="1603"/>
      <c r="V12" s="1602" t="e">
        <f t="shared" si="1"/>
        <v>#VALUE!</v>
      </c>
      <c r="W12" s="3900"/>
      <c r="X12" s="1616" t="s">
        <v>3108</v>
      </c>
      <c r="Y12" s="1612">
        <f t="shared" ref="Y12:AJ12" si="4">Y9</f>
        <v>15</v>
      </c>
      <c r="Z12" s="1612">
        <f t="shared" si="4"/>
        <v>15</v>
      </c>
      <c r="AA12" s="1612">
        <f t="shared" si="4"/>
        <v>15</v>
      </c>
      <c r="AB12" s="1612">
        <f t="shared" si="4"/>
        <v>15</v>
      </c>
      <c r="AC12" s="1612">
        <f t="shared" si="4"/>
        <v>15</v>
      </c>
      <c r="AD12" s="1612">
        <f t="shared" si="4"/>
        <v>15</v>
      </c>
      <c r="AE12" s="1612">
        <f t="shared" si="4"/>
        <v>15</v>
      </c>
      <c r="AF12" s="1612">
        <f t="shared" si="4"/>
        <v>15</v>
      </c>
      <c r="AG12" s="1612">
        <f t="shared" si="4"/>
        <v>15</v>
      </c>
      <c r="AH12" s="1612">
        <f t="shared" si="4"/>
        <v>15</v>
      </c>
      <c r="AI12" s="1612">
        <f t="shared" si="4"/>
        <v>15</v>
      </c>
      <c r="AJ12" s="1612">
        <f t="shared" si="4"/>
        <v>15</v>
      </c>
    </row>
    <row r="13" spans="1:36" ht="24">
      <c r="A13" s="3934"/>
      <c r="B13" s="3034" t="s">
        <v>3109</v>
      </c>
      <c r="C13" s="3035" t="s">
        <v>3110</v>
      </c>
      <c r="D13" s="3036" t="s">
        <v>3111</v>
      </c>
      <c r="E13" s="3036" t="s">
        <v>3112</v>
      </c>
      <c r="F13" s="3037" t="s">
        <v>3113</v>
      </c>
      <c r="G13" s="3038" t="s">
        <v>3114</v>
      </c>
      <c r="H13" s="3038" t="s">
        <v>3114</v>
      </c>
      <c r="I13" s="3038" t="s">
        <v>3114</v>
      </c>
      <c r="J13" s="3039" t="s">
        <v>3114</v>
      </c>
      <c r="K13" s="2962"/>
      <c r="L13" s="2962"/>
      <c r="M13" s="2962"/>
      <c r="N13" s="2962"/>
      <c r="O13" s="2962"/>
      <c r="P13" s="2962"/>
      <c r="Q13" s="2962"/>
      <c r="R13" s="1602">
        <v>12</v>
      </c>
      <c r="S13" s="1603">
        <v>0.64200000000000002</v>
      </c>
      <c r="T13" s="1602" t="e">
        <f t="shared" si="0"/>
        <v>#VALUE!</v>
      </c>
      <c r="U13" s="1603"/>
      <c r="V13" s="1602" t="e">
        <f t="shared" si="1"/>
        <v>#VALUE!</v>
      </c>
      <c r="W13" s="3900"/>
      <c r="X13" s="1616"/>
      <c r="Y13" s="1613">
        <f>(-0.163*(Y12^2)-0.59*Y12+7617)*(10^(-4))/Y11</f>
        <v>0.16075318471337582</v>
      </c>
      <c r="Z13" s="1613">
        <f t="shared" ref="Z13:AJ13" si="5">(-0.163*(Z12^2)-0.59*Z12+7617)*(10^(-4))/Z11</f>
        <v>0.16075318471337582</v>
      </c>
      <c r="AA13" s="1613">
        <f t="shared" si="5"/>
        <v>0.16075318471337582</v>
      </c>
      <c r="AB13" s="1613">
        <f t="shared" si="5"/>
        <v>0.16075318471337582</v>
      </c>
      <c r="AC13" s="1613">
        <f t="shared" si="5"/>
        <v>0.16075318471337582</v>
      </c>
      <c r="AD13" s="1613">
        <f t="shared" si="5"/>
        <v>0.16075318471337582</v>
      </c>
      <c r="AE13" s="1613">
        <f t="shared" si="5"/>
        <v>0.16075318471337582</v>
      </c>
      <c r="AF13" s="1613">
        <f t="shared" si="5"/>
        <v>0.16075318471337582</v>
      </c>
      <c r="AG13" s="1613">
        <f t="shared" si="5"/>
        <v>0.16075318471337582</v>
      </c>
      <c r="AH13" s="1613">
        <f t="shared" si="5"/>
        <v>0.16075318471337582</v>
      </c>
      <c r="AI13" s="1613">
        <f t="shared" si="5"/>
        <v>0.16075318471337582</v>
      </c>
      <c r="AJ13" s="1613">
        <f t="shared" si="5"/>
        <v>0.16075318471337582</v>
      </c>
    </row>
    <row r="14" spans="1:36" ht="15">
      <c r="A14" s="3934"/>
      <c r="B14" s="3040"/>
      <c r="C14" s="3041" t="s">
        <v>3115</v>
      </c>
      <c r="D14" s="3042" t="s">
        <v>3115</v>
      </c>
      <c r="E14" s="3042" t="s">
        <v>3115</v>
      </c>
      <c r="F14" s="3043" t="s">
        <v>3116</v>
      </c>
      <c r="G14" s="3044" t="s">
        <v>3117</v>
      </c>
      <c r="H14" s="3045"/>
      <c r="I14" s="3046"/>
      <c r="J14" s="3047"/>
      <c r="K14" s="2962"/>
      <c r="L14" s="2962"/>
      <c r="M14" s="2962"/>
      <c r="N14" s="2962"/>
      <c r="O14" s="2962"/>
      <c r="P14" s="2962"/>
      <c r="Q14" s="2962"/>
      <c r="R14" s="1602">
        <v>13</v>
      </c>
      <c r="S14" s="1603">
        <v>0.64080000000000004</v>
      </c>
      <c r="T14" s="1602" t="e">
        <f t="shared" si="0"/>
        <v>#VALUE!</v>
      </c>
      <c r="U14" s="1603"/>
      <c r="V14" s="1602" t="e">
        <f t="shared" si="1"/>
        <v>#VALUE!</v>
      </c>
      <c r="W14" s="2968"/>
      <c r="X14" s="2968"/>
      <c r="Y14" s="2968"/>
      <c r="Z14" s="2968"/>
      <c r="AA14" s="2968"/>
      <c r="AB14" s="2968"/>
      <c r="AC14" s="2969"/>
      <c r="AD14" s="2970"/>
      <c r="AE14" s="2970"/>
      <c r="AF14" s="2970"/>
      <c r="AG14" s="2970"/>
      <c r="AH14" s="2970"/>
      <c r="AI14" s="2970"/>
      <c r="AJ14" s="2971"/>
    </row>
    <row r="15" spans="1:36" ht="15.75" thickBot="1">
      <c r="A15" s="3935"/>
      <c r="B15" s="3048" t="s">
        <v>3118</v>
      </c>
      <c r="C15" s="3049">
        <f>IF(C14="有",1.1,1)</f>
        <v>1</v>
      </c>
      <c r="D15" s="3049">
        <f>IF(D14="有",1.1,1)</f>
        <v>1</v>
      </c>
      <c r="E15" s="3049">
        <f>IF(E14="有",1.1,1)</f>
        <v>1</v>
      </c>
      <c r="F15" s="3049">
        <f>IF(F14="500米范围内",1.2,IF(F14="500-1000米",1.1,1))</f>
        <v>1</v>
      </c>
      <c r="G15" s="3050">
        <v>1</v>
      </c>
      <c r="H15" s="3050">
        <v>1</v>
      </c>
      <c r="I15" s="3050">
        <v>1</v>
      </c>
      <c r="J15" s="3051">
        <v>1</v>
      </c>
      <c r="K15" s="2962"/>
      <c r="L15" s="3052" t="s">
        <v>3061</v>
      </c>
      <c r="M15" s="3053" t="s">
        <v>3119</v>
      </c>
      <c r="N15" s="3053" t="s">
        <v>3120</v>
      </c>
      <c r="O15" s="3053" t="s">
        <v>3121</v>
      </c>
      <c r="P15" s="3054" t="s">
        <v>3122</v>
      </c>
      <c r="Q15" s="2962"/>
      <c r="R15" s="1602">
        <v>14</v>
      </c>
      <c r="S15" s="1603">
        <v>0.63959999999999995</v>
      </c>
      <c r="T15" s="1602" t="e">
        <f t="shared" si="0"/>
        <v>#VALUE!</v>
      </c>
      <c r="U15" s="1603"/>
      <c r="V15" s="1602" t="e">
        <f t="shared" si="1"/>
        <v>#VALUE!</v>
      </c>
      <c r="W15" s="2968"/>
      <c r="X15" s="2968"/>
      <c r="Y15" s="2968"/>
      <c r="Z15" s="2968"/>
      <c r="AA15" s="2968"/>
      <c r="AB15" s="2968"/>
      <c r="AC15" s="2969"/>
      <c r="AD15" s="2970"/>
      <c r="AE15" s="2970"/>
      <c r="AF15" s="2970"/>
      <c r="AG15" s="2970"/>
      <c r="AH15" s="2970"/>
      <c r="AI15" s="2970"/>
      <c r="AJ15" s="2971"/>
    </row>
    <row r="16" spans="1:36" ht="24">
      <c r="A16" s="3920" t="s">
        <v>3123</v>
      </c>
      <c r="B16" s="3006" t="s">
        <v>3124</v>
      </c>
      <c r="C16" s="3055">
        <f>ROUND(SUM(G17:J17)/C17,0)</f>
        <v>0</v>
      </c>
      <c r="D16" s="3056" t="s">
        <v>3125</v>
      </c>
      <c r="E16" s="3057" t="s">
        <v>3126</v>
      </c>
      <c r="F16" s="3058" t="s">
        <v>3127</v>
      </c>
      <c r="G16" s="3059" t="s">
        <v>70</v>
      </c>
      <c r="H16" s="3059" t="s">
        <v>70</v>
      </c>
      <c r="I16" s="3059" t="s">
        <v>70</v>
      </c>
      <c r="J16" s="3060" t="s">
        <v>70</v>
      </c>
      <c r="K16" s="2962"/>
      <c r="L16" s="3061" t="s">
        <v>3128</v>
      </c>
      <c r="M16" s="3019">
        <v>0.25</v>
      </c>
      <c r="N16" s="3019">
        <v>0.2</v>
      </c>
      <c r="O16" s="3019">
        <v>0.15</v>
      </c>
      <c r="P16" s="3062">
        <v>0.1</v>
      </c>
      <c r="Q16" s="3063"/>
      <c r="R16" s="1602">
        <v>15</v>
      </c>
      <c r="S16" s="1603">
        <v>0.63839999999999997</v>
      </c>
      <c r="T16" s="1602" t="e">
        <f t="shared" si="0"/>
        <v>#VALUE!</v>
      </c>
      <c r="U16" s="1603"/>
      <c r="V16" s="1602" t="e">
        <f t="shared" si="1"/>
        <v>#VALUE!</v>
      </c>
      <c r="W16" s="1606"/>
      <c r="X16" s="1606"/>
      <c r="Y16" s="1606"/>
      <c r="Z16" s="1606"/>
      <c r="AA16" s="1606"/>
      <c r="AB16" s="1606"/>
      <c r="AC16" s="1607"/>
      <c r="AD16" s="2970"/>
      <c r="AE16" s="2970"/>
      <c r="AF16" s="2970"/>
      <c r="AG16" s="2970"/>
      <c r="AH16" s="2970"/>
      <c r="AI16" s="2970"/>
      <c r="AJ16" s="2971"/>
    </row>
    <row r="17" spans="1:37" ht="13.5" thickBot="1">
      <c r="A17" s="3921"/>
      <c r="B17" s="3064" t="s">
        <v>3129</v>
      </c>
      <c r="C17" s="3065">
        <f>SUMPRODUCT(([1]修正!A2:A5=E2)*([1]修正!B1:M1=G2)*([1]修正!B2:M5))</f>
        <v>2.5</v>
      </c>
      <c r="D17" s="3066" t="s">
        <v>3130</v>
      </c>
      <c r="E17" s="3067" t="str">
        <f>IF(OR(G2="八级",G2="九级",G2="十级",G2="十一级",G2="十二级"),"五通一平","七通一平")</f>
        <v>七通一平</v>
      </c>
      <c r="F17" s="3068" t="s">
        <v>3131</v>
      </c>
      <c r="G17" s="3065">
        <f>SUMPRODUCT((七通一平=G16)*([1]修正!B1:M1=G2)*([1]修正!B6:M14))</f>
        <v>0</v>
      </c>
      <c r="H17" s="3065">
        <f>SUMPRODUCT((七通一平=H16)*([1]修正!B1:M1=G2)*([1]修正!B6:M14))</f>
        <v>0</v>
      </c>
      <c r="I17" s="3065">
        <f>SUMPRODUCT((七通一平=I16)*([1]修正!B1:M1=G2)*([1]修正!B6:M14))</f>
        <v>0</v>
      </c>
      <c r="J17" s="3069">
        <f>SUMPRODUCT((七通一平=J16)*([1]修正!B1:M1=G2)*([1]修正!B6:M14))</f>
        <v>0</v>
      </c>
      <c r="K17" s="2962"/>
      <c r="L17" s="3070" t="s">
        <v>3132</v>
      </c>
      <c r="M17" s="3071">
        <f>ROUND($E$20*(1+M16),3)</f>
        <v>5.8999999999999997E-2</v>
      </c>
      <c r="N17" s="3071">
        <f>ROUND($E$20*(1+N16),3)</f>
        <v>5.7000000000000002E-2</v>
      </c>
      <c r="O17" s="3071">
        <f>ROUND($E$20*(1+O16),3)</f>
        <v>5.5E-2</v>
      </c>
      <c r="P17" s="3072">
        <f>ROUND($E$20*(1+P16),3)</f>
        <v>5.1999999999999998E-2</v>
      </c>
      <c r="Q17" s="3063"/>
      <c r="R17" s="3063"/>
      <c r="S17" s="3063"/>
      <c r="T17" s="3063"/>
      <c r="U17" s="3063"/>
      <c r="V17" s="3063"/>
      <c r="W17" s="3063"/>
      <c r="X17" s="3063"/>
      <c r="Y17" s="3063"/>
      <c r="Z17" s="3073"/>
      <c r="AA17" s="3074"/>
      <c r="AB17" s="3074"/>
      <c r="AC17" s="3074"/>
      <c r="AD17" s="3074"/>
      <c r="AE17" s="3075"/>
      <c r="AF17" s="3075"/>
      <c r="AG17" s="2972"/>
      <c r="AH17" s="2972"/>
      <c r="AI17" s="2972"/>
      <c r="AJ17" s="2972"/>
    </row>
    <row r="18" spans="1:37" s="2997" customFormat="1" ht="15.75" thickBot="1">
      <c r="A18" s="3076" t="s">
        <v>3133</v>
      </c>
      <c r="B18" s="3077" t="s">
        <v>3134</v>
      </c>
      <c r="C18" s="3078" t="e">
        <f>SUMIF([1]修正!C18:C39,E3,[1]修正!E18:E39)</f>
        <v>#VALUE!</v>
      </c>
      <c r="D18" s="3079"/>
      <c r="E18" s="3080"/>
      <c r="F18" s="3081"/>
      <c r="G18" s="3082"/>
      <c r="H18" s="3082"/>
      <c r="I18" s="3082"/>
      <c r="J18" s="3083"/>
      <c r="K18" s="3084"/>
      <c r="O18" s="3085"/>
      <c r="P18" s="3085"/>
      <c r="Q18" s="3086"/>
      <c r="R18" s="3086"/>
      <c r="S18" s="3086"/>
      <c r="T18" s="3073"/>
      <c r="U18" s="3073"/>
      <c r="V18" s="3073"/>
      <c r="W18" s="3063"/>
      <c r="X18" s="3063"/>
      <c r="Y18" s="3063"/>
      <c r="Z18" s="3087"/>
      <c r="AA18" s="3088"/>
      <c r="AB18" s="3088"/>
      <c r="AC18" s="3088"/>
      <c r="AD18" s="3088"/>
      <c r="AE18" s="3089"/>
      <c r="AF18" s="3089"/>
      <c r="AG18" s="3090"/>
      <c r="AH18" s="3090"/>
      <c r="AI18" s="3090"/>
    </row>
    <row r="19" spans="1:37" s="2997" customFormat="1" ht="27.75" thickBot="1">
      <c r="A19" s="3076" t="s">
        <v>3135</v>
      </c>
      <c r="B19" s="3077" t="s">
        <v>3136</v>
      </c>
      <c r="C19" s="3091">
        <f>ROUND(IF(H19="按公示增长率计算",SUMPRODUCT(([1]地价!A3:A19=YEAR(G19)&amp;"-"&amp;ROUNDUP(MONTH(G19)/3,0))*([1]地价!X2:AB2=E2)*([1]地价!X3:AB19)),IF(H19="地价指数",M20/M19,(1+I19)^O19)),4)</f>
        <v>1.2154</v>
      </c>
      <c r="D19" s="3092" t="s">
        <v>3137</v>
      </c>
      <c r="E19" s="3093">
        <v>41640</v>
      </c>
      <c r="F19" s="3092" t="s">
        <v>3138</v>
      </c>
      <c r="G19" s="3094">
        <f>'[1]数据-取费表'!B2</f>
        <v>42962</v>
      </c>
      <c r="H19" s="3095" t="s">
        <v>3139</v>
      </c>
      <c r="I19" s="3096" t="str">
        <f>IF(H19="季度增幅（自定义）",SUMIF(N21:N24,E2,O21:O24),"")</f>
        <v/>
      </c>
      <c r="J19" s="3083"/>
      <c r="K19" s="3084"/>
      <c r="L19" s="3097" t="s">
        <v>3140</v>
      </c>
      <c r="M19" s="3098" t="e">
        <f>ROUND(SUMIF([1]地价!B2:F2,E2,[1]地价!B19:F19),0)</f>
        <v>#VALUE!</v>
      </c>
      <c r="N19" s="3099" t="s">
        <v>3141</v>
      </c>
      <c r="O19" s="3100">
        <f>ROUNDDOWN(DATEDIF(E19,G19,"M")/3,0)</f>
        <v>14</v>
      </c>
      <c r="P19" s="3101"/>
      <c r="Q19" s="3086"/>
      <c r="R19" s="3086"/>
      <c r="S19" s="3086"/>
      <c r="T19" s="3073"/>
      <c r="U19" s="3073"/>
      <c r="V19" s="3073"/>
      <c r="W19" s="3063"/>
      <c r="X19" s="3063"/>
      <c r="Y19" s="3063"/>
      <c r="Z19" s="3087"/>
      <c r="AA19" s="3088"/>
      <c r="AB19" s="3088"/>
      <c r="AC19" s="3088"/>
      <c r="AD19" s="3088"/>
      <c r="AE19" s="3102"/>
      <c r="AF19" s="3103"/>
      <c r="AG19" s="3104"/>
      <c r="AH19" s="3090"/>
      <c r="AI19" s="3105"/>
      <c r="AJ19" s="3105"/>
      <c r="AK19" s="3105"/>
    </row>
    <row r="20" spans="1:37" s="2997" customFormat="1" ht="27.75" thickBot="1">
      <c r="A20" s="3106" t="s">
        <v>3142</v>
      </c>
      <c r="B20" s="3107" t="s">
        <v>3143</v>
      </c>
      <c r="C20" s="3108" t="e">
        <f>ROUND(POWER(1+G20,J20-I20)*(POWER(1+G20,I20)-1)/(POWER(1+G20,J20)-1),4)</f>
        <v>#VALUE!</v>
      </c>
      <c r="D20" s="3109" t="s">
        <v>3144</v>
      </c>
      <c r="E20" s="3110">
        <v>4.7500000000000001E-2</v>
      </c>
      <c r="F20" s="3109" t="s">
        <v>3145</v>
      </c>
      <c r="G20" s="3111">
        <f>SUMIF(M15:P15,E2,M17:P17)</f>
        <v>5.7000000000000002E-2</v>
      </c>
      <c r="H20" s="3109" t="s">
        <v>3146</v>
      </c>
      <c r="I20" s="3112" t="e">
        <f>SUMIF('[1]数据-取费表'!C6:C15,E2,'[1]数据-取费表'!F6:F15)/COUNTIF('[1]数据-取费表'!C6:C15,E2)</f>
        <v>#VALUE!</v>
      </c>
      <c r="J20" s="3113">
        <f>IF(E2="住宅",70,IF(E2="商业",40,50))</f>
        <v>50</v>
      </c>
      <c r="K20" s="3084"/>
      <c r="L20" s="3114" t="s">
        <v>3147</v>
      </c>
      <c r="M20" s="3115">
        <f>ROUND(SUMPRODUCT(([1]地价!A4:A19=YEAR(G19)&amp;"-"&amp;ROUNDUP(MONTH(G19)/3,0))*([1]地价!B2:F2=E2)*([1]地价!B4:F19)),0)</f>
        <v>0</v>
      </c>
      <c r="N20" s="3116" t="s">
        <v>3148</v>
      </c>
      <c r="O20" s="3117" t="s">
        <v>3149</v>
      </c>
      <c r="P20" s="3118" t="s">
        <v>3150</v>
      </c>
      <c r="R20" s="3086"/>
      <c r="S20" s="3086"/>
      <c r="T20" s="3073"/>
      <c r="U20" s="3073"/>
      <c r="V20" s="3073"/>
      <c r="W20" s="3063"/>
      <c r="X20" s="3063"/>
      <c r="Y20" s="3063"/>
      <c r="Z20" s="3087"/>
      <c r="AA20" s="3088"/>
      <c r="AB20" s="3088"/>
      <c r="AC20" s="3088"/>
      <c r="AD20" s="3088"/>
      <c r="AE20" s="3102"/>
      <c r="AF20" s="3102"/>
    </row>
    <row r="21" spans="1:37" s="2997" customFormat="1" ht="14.25">
      <c r="A21" s="3119" t="s">
        <v>3151</v>
      </c>
      <c r="B21" s="3120" t="s">
        <v>3152</v>
      </c>
      <c r="C21" s="3121">
        <f>IF(B21="容积率修正",IF(G3&lt;=10,D22,J22),C23)</f>
        <v>0.83120000000000005</v>
      </c>
      <c r="D21" s="3122"/>
      <c r="E21" s="3122"/>
      <c r="F21" s="3122"/>
      <c r="G21" s="3122"/>
      <c r="H21" s="3122"/>
      <c r="I21" s="3122"/>
      <c r="J21" s="3123"/>
      <c r="K21" s="3084"/>
      <c r="N21" s="3124" t="s">
        <v>3153</v>
      </c>
      <c r="O21" s="1561">
        <v>1.2999999999999999E-2</v>
      </c>
      <c r="P21" s="1562">
        <f>SUMPRODUCT(([1]地价!A3:A19=YEAR(G19)&amp;"-"&amp;ROUNDUP(MONTH(G19)/3,0))*([1]地价!AD2:AH2=N21)*([1]地价!AD3:AH19))</f>
        <v>1.5699999999999999E-2</v>
      </c>
      <c r="R21" s="3086"/>
      <c r="S21" s="3086"/>
      <c r="T21" s="3073"/>
      <c r="U21" s="3073"/>
      <c r="V21" s="3073"/>
      <c r="W21" s="3063"/>
      <c r="X21" s="3063"/>
      <c r="Y21" s="3063"/>
      <c r="Z21" s="3087"/>
      <c r="AA21" s="3088"/>
      <c r="AB21" s="3088"/>
      <c r="AC21" s="3088"/>
      <c r="AD21" s="3088"/>
      <c r="AE21" s="3102"/>
      <c r="AF21" s="3102"/>
    </row>
    <row r="22" spans="1:37" s="2997" customFormat="1" ht="14.25">
      <c r="A22" s="3125" t="s">
        <v>3154</v>
      </c>
      <c r="B22" s="3126" t="s">
        <v>3155</v>
      </c>
      <c r="C22" s="3127" t="s">
        <v>3156</v>
      </c>
      <c r="D22" s="3127">
        <f>IF(E22=G22,F22,IF(G3&lt;=10,ROUND(F22+(H22-F22)*(G3-E22)/(G22-E22),4),"——"))</f>
        <v>0.83120000000000005</v>
      </c>
      <c r="E22" s="2983">
        <f>ROUNDDOWN(G3,1)</f>
        <v>4.7</v>
      </c>
      <c r="F22" s="3127">
        <f>IF(G3&lt;=10,IF(E2="商业",SUMPRODUCT(([1]容积率修正!A3:A102=ROUNDDOWN(G3,1))*([1]容积率修正!B2:M2=G2)*([1]容积率修正!B3:M102)),IF(E2="办公",SUMPRODUCT(([1]容积率修正!A105:A204=ROUNDDOWN(G3,1))*([1]容积率修正!B2:M2=G2)*([1]容积率修正!B105:M204)),IF(E2="住宅",SUMPRODUCT(([1]容积率修正!A207:A306=ROUNDDOWN(G3,1))*([1]容积率修正!B2:M2=G2)*([1]容积率修正!B207:M306)),IF(E2="工业",SUMPRODUCT(([1]容积率修正!A309:A408=ROUNDDOWN(G3,1))*([1]容积率修正!B2:M2=G2)*([1]容积率修正!B309:M408)))))),"——")</f>
        <v>0.83160000000000001</v>
      </c>
      <c r="G22" s="2983">
        <f>ROUNDUP(G3,1)</f>
        <v>4.8</v>
      </c>
      <c r="H22" s="3127">
        <f>IF(G3&lt;=10,IF(E2="商业",SUMPRODUCT(([1]容积率修正!A3:A102=ROUNDUP(G3,1))*([1]容积率修正!B2:M2=G2)*([1]容积率修正!B3:M102)),IF(E2="办公",SUMPRODUCT(([1]容积率修正!A105:A204=ROUNDUP(G3,1))*([1]容积率修正!B2:M2=G2)*([1]容积率修正!B105:M204)),IF(E2="住宅",SUMPRODUCT(([1]容积率修正!A207:A306=ROUNDUP(G3,1))*([1]容积率修正!B2:M2=G2)*([1]容积率修正!B207:M306)),SUMPRODUCT(([1]容积率修正!A309:A408=ROUNDUP(G3,1))*([1]容积率修正!B2:M2=G2)*([1]容积率修正!B309:M408))))),"——")</f>
        <v>0.82769999999999999</v>
      </c>
      <c r="I22" s="3127" t="s">
        <v>3157</v>
      </c>
      <c r="J22" s="3128" t="str">
        <f>IF(G3&gt;10,D113,"——")</f>
        <v>——</v>
      </c>
      <c r="K22" s="3084"/>
      <c r="N22" s="3124" t="s">
        <v>3120</v>
      </c>
      <c r="O22" s="1561">
        <v>1.4999999999999999E-2</v>
      </c>
      <c r="P22" s="1562">
        <f>SUMPRODUCT(([1]地价!A3:A19=YEAR(G19)&amp;"-"&amp;ROUNDUP(MONTH(G19)/3,0))*([1]地价!AD2:AH2=N22)*([1]地价!AD3:AH19))</f>
        <v>1.5699999999999999E-2</v>
      </c>
      <c r="R22" s="3086"/>
      <c r="S22" s="3086"/>
      <c r="T22" s="3073"/>
      <c r="U22" s="3073"/>
      <c r="V22" s="3073"/>
      <c r="W22" s="3063"/>
      <c r="X22" s="3063"/>
      <c r="Y22" s="3063"/>
      <c r="Z22" s="3087"/>
      <c r="AA22" s="3088"/>
      <c r="AB22" s="3088"/>
      <c r="AC22" s="3088"/>
      <c r="AD22" s="3088"/>
      <c r="AE22" s="3102"/>
      <c r="AF22" s="3102"/>
    </row>
    <row r="23" spans="1:37" ht="27.75" thickBot="1">
      <c r="A23" s="3125" t="s">
        <v>3105</v>
      </c>
      <c r="B23" s="3129" t="s">
        <v>3158</v>
      </c>
      <c r="C23" s="3130">
        <f>ROUND(IF(G3&gt;1,IF(I3&lt;7,SUMPRODUCT((B93:B98=I3)*(C92:N92=G2)*(C93:N98)),SUMIF(C92:N92,G2,C100:N100)),IF(I3&lt;7,SUMPRODUCT((B102:B107=I3)*(C92:N92=G2)*(C102:N107)),SUMIF(C92:N92,G2,C109:N109))),4)</f>
        <v>0</v>
      </c>
      <c r="D23" s="3045"/>
      <c r="E23" s="3045"/>
      <c r="F23" s="3131"/>
      <c r="G23" s="3132"/>
      <c r="H23" s="3133"/>
      <c r="I23" s="3134"/>
      <c r="J23" s="3135"/>
      <c r="K23" s="2962"/>
      <c r="N23" s="3124" t="s">
        <v>3159</v>
      </c>
      <c r="O23" s="1561">
        <v>0.02</v>
      </c>
      <c r="P23" s="1562">
        <f>SUMPRODUCT(([1]地价!A3:A19=YEAR(G19)&amp;"-"&amp;ROUNDUP(MONTH(G19)/3,0))*([1]地价!AD2:AH2=N23)*([1]地价!AD3:AH19))</f>
        <v>2.6599999999999999E-2</v>
      </c>
      <c r="R23" s="3086"/>
      <c r="S23" s="3086"/>
      <c r="T23" s="3073"/>
      <c r="U23" s="3073"/>
      <c r="V23" s="3073"/>
      <c r="W23" s="3063"/>
      <c r="X23" s="3063"/>
      <c r="Y23" s="3063"/>
      <c r="Z23" s="3087"/>
      <c r="AA23" s="3088"/>
      <c r="AB23" s="3088"/>
      <c r="AC23" s="3088"/>
      <c r="AD23" s="3088"/>
      <c r="AK23" s="3090"/>
    </row>
    <row r="24" spans="1:37" s="2997" customFormat="1" ht="15.75" thickBot="1">
      <c r="A24" s="3106" t="s">
        <v>3160</v>
      </c>
      <c r="B24" s="3077" t="s">
        <v>3161</v>
      </c>
      <c r="C24" s="3091">
        <f>SUMIF(A45:A88,E2,B45:B88)</f>
        <v>1.0807</v>
      </c>
      <c r="D24" s="3081"/>
      <c r="E24" s="3136"/>
      <c r="F24" s="3136"/>
      <c r="G24" s="3136"/>
      <c r="H24" s="3136"/>
      <c r="I24" s="3136"/>
      <c r="J24" s="3137"/>
      <c r="K24" s="3084"/>
      <c r="N24" s="3138" t="s">
        <v>6</v>
      </c>
      <c r="O24" s="1563">
        <v>0.01</v>
      </c>
      <c r="P24" s="1564">
        <f>SUMPRODUCT(([1]地价!A3:A19=YEAR(G19)&amp;"-"&amp;ROUNDUP(MONTH(G19)/3,0))*([1]地价!AD2:AH2=N24)*([1]地价!AD3:AH19))</f>
        <v>1.34E-2</v>
      </c>
      <c r="R24" s="3086"/>
      <c r="S24" s="3086"/>
      <c r="T24" s="3073"/>
      <c r="U24" s="3073"/>
      <c r="V24" s="3073"/>
      <c r="W24" s="3063"/>
      <c r="X24" s="3063"/>
      <c r="Y24" s="3063"/>
      <c r="Z24" s="3087"/>
      <c r="AA24" s="3088"/>
      <c r="AB24" s="3088"/>
      <c r="AC24" s="3088"/>
      <c r="AD24" s="3088"/>
      <c r="AE24" s="3102"/>
      <c r="AF24" s="3102"/>
    </row>
    <row r="25" spans="1:37" ht="15" thickBot="1">
      <c r="A25" s="3106" t="s">
        <v>3162</v>
      </c>
      <c r="B25" s="3139" t="s">
        <v>3163</v>
      </c>
      <c r="C25" s="3140"/>
      <c r="D25" s="3011"/>
      <c r="E25" s="3011"/>
      <c r="F25" s="3141"/>
      <c r="G25" s="3011"/>
      <c r="H25" s="3011"/>
      <c r="I25" s="3011"/>
      <c r="J25" s="3012"/>
      <c r="K25" s="2962"/>
      <c r="N25" s="3142" t="s">
        <v>3164</v>
      </c>
      <c r="O25" s="1565"/>
      <c r="P25" s="1564">
        <f>SUMPRODUCT(([1]地价!A3:A19=YEAR(G19)&amp;"-"&amp;ROUNDUP(MONTH(G19)/3,0))*([1]地价!AD2:AH2=N25)*([1]地价!AD3:AH19))</f>
        <v>2.3900000000000001E-2</v>
      </c>
      <c r="R25" s="3086"/>
      <c r="S25" s="3086"/>
      <c r="T25" s="3073"/>
      <c r="U25" s="3073"/>
      <c r="V25" s="3073"/>
      <c r="W25" s="3063"/>
      <c r="X25" s="3063"/>
      <c r="Y25" s="3063"/>
      <c r="Z25" s="3087"/>
      <c r="AA25" s="3088"/>
      <c r="AB25" s="3088"/>
      <c r="AC25" s="3088"/>
      <c r="AD25" s="3088"/>
    </row>
    <row r="26" spans="1:37" ht="14.25">
      <c r="A26" s="3143"/>
      <c r="B26" s="3126" t="s">
        <v>3165</v>
      </c>
      <c r="C26" s="3144" t="e">
        <f>E29+SUM(E33:E39)</f>
        <v>#VALUE!</v>
      </c>
      <c r="D26" s="3145"/>
      <c r="E26" s="3045"/>
      <c r="F26" s="3146"/>
      <c r="G26" s="3045"/>
      <c r="H26" s="3045"/>
      <c r="I26" s="3045"/>
      <c r="J26" s="3147"/>
      <c r="K26" s="2962"/>
      <c r="R26" s="3086"/>
      <c r="S26" s="3086"/>
      <c r="T26" s="3073"/>
      <c r="U26" s="3073"/>
      <c r="V26" s="3073"/>
      <c r="W26" s="3063"/>
      <c r="X26" s="3063"/>
      <c r="Y26" s="3063"/>
      <c r="Z26" s="3087"/>
      <c r="AA26" s="3088"/>
      <c r="AB26" s="3088"/>
      <c r="AC26" s="3088"/>
      <c r="AD26" s="3088"/>
    </row>
    <row r="27" spans="1:37" ht="15" thickBot="1">
      <c r="A27" s="3143"/>
      <c r="B27" s="3148" t="s">
        <v>3166</v>
      </c>
      <c r="C27" s="3149" t="e">
        <f>E30+SUM(I33:I39)</f>
        <v>#VALUE!</v>
      </c>
      <c r="D27" s="3150"/>
      <c r="E27" s="3151"/>
      <c r="F27" s="3152"/>
      <c r="G27" s="3151"/>
      <c r="H27" s="3151"/>
      <c r="I27" s="3151"/>
      <c r="J27" s="3153"/>
      <c r="K27" s="2962"/>
      <c r="L27" s="2962"/>
      <c r="M27" s="2962"/>
      <c r="N27" s="2962"/>
      <c r="O27" s="3085"/>
      <c r="P27" s="3085"/>
      <c r="Q27" s="3086"/>
      <c r="R27" s="3086"/>
      <c r="S27" s="3086"/>
      <c r="T27" s="3073"/>
      <c r="U27" s="3073"/>
      <c r="V27" s="3073"/>
      <c r="W27" s="3063"/>
      <c r="X27" s="3063"/>
      <c r="Y27" s="3063"/>
      <c r="Z27" s="3087"/>
      <c r="AA27" s="3088"/>
      <c r="AB27" s="3088"/>
      <c r="AC27" s="3088"/>
      <c r="AD27" s="3088"/>
    </row>
    <row r="28" spans="1:37" ht="14.25">
      <c r="A28" s="3154"/>
      <c r="B28" s="3155" t="s">
        <v>3167</v>
      </c>
      <c r="C28" s="3156" t="s">
        <v>3168</v>
      </c>
      <c r="D28" s="3156" t="s">
        <v>3169</v>
      </c>
      <c r="E28" s="3157" t="s">
        <v>3170</v>
      </c>
      <c r="F28" s="3158"/>
      <c r="G28" s="3030"/>
      <c r="H28" s="3030"/>
      <c r="I28" s="3030"/>
      <c r="J28" s="3031"/>
      <c r="K28" s="2962"/>
      <c r="L28" s="2962"/>
      <c r="M28" s="2962"/>
      <c r="N28" s="2962"/>
      <c r="O28" s="3085"/>
      <c r="P28" s="3085"/>
      <c r="Q28" s="3086"/>
      <c r="R28" s="3086"/>
      <c r="S28" s="3086"/>
      <c r="T28" s="3073"/>
      <c r="U28" s="3073"/>
      <c r="V28" s="3073"/>
      <c r="W28" s="3063"/>
      <c r="X28" s="3063"/>
      <c r="Y28" s="3063"/>
      <c r="Z28" s="3087"/>
      <c r="AA28" s="3088"/>
      <c r="AB28" s="3088"/>
      <c r="AC28" s="3088"/>
      <c r="AD28" s="3088"/>
    </row>
    <row r="29" spans="1:37" ht="24">
      <c r="A29" s="3159"/>
      <c r="B29" s="3160" t="s">
        <v>3171</v>
      </c>
      <c r="C29" s="3144" t="e">
        <f>ROUND(C5*C18*C19*C20*C21*C24,0)</f>
        <v>#VALUE!</v>
      </c>
      <c r="D29" s="3161">
        <f>'[1]数据-汇总表'!F27</f>
        <v>64988.499999999993</v>
      </c>
      <c r="E29" s="3162" t="e">
        <f>ROUND(C29*D29/10000,0)</f>
        <v>#VALUE!</v>
      </c>
      <c r="F29" s="3163" t="s">
        <v>3172</v>
      </c>
      <c r="G29" s="3164"/>
      <c r="H29" s="3164"/>
      <c r="I29" s="3164"/>
      <c r="J29" s="3165"/>
      <c r="K29" s="2962"/>
      <c r="L29" s="2962"/>
      <c r="M29" s="2962"/>
      <c r="N29" s="2962"/>
      <c r="O29" s="3085"/>
      <c r="P29" s="3085"/>
      <c r="Q29" s="3086"/>
      <c r="R29" s="3086"/>
      <c r="S29" s="3086"/>
      <c r="T29" s="3073"/>
      <c r="U29" s="3073"/>
      <c r="V29" s="3073"/>
      <c r="W29" s="3063"/>
      <c r="X29" s="3063"/>
      <c r="Y29" s="3063"/>
      <c r="Z29" s="3087"/>
      <c r="AA29" s="3088"/>
      <c r="AB29" s="3088"/>
      <c r="AC29" s="3088"/>
      <c r="AD29" s="3088"/>
      <c r="AE29" s="3075"/>
      <c r="AF29" s="3075"/>
      <c r="AG29" s="2972"/>
      <c r="AH29" s="2972"/>
      <c r="AI29" s="2972"/>
      <c r="AJ29" s="2972"/>
    </row>
    <row r="30" spans="1:37" ht="24.75" thickBot="1">
      <c r="A30" s="3166"/>
      <c r="B30" s="3167" t="s">
        <v>3173</v>
      </c>
      <c r="C30" s="3049" t="e">
        <f>ROUND(IF(E2="工业",C29*M39,C29*M38),0)</f>
        <v>#VALUE!</v>
      </c>
      <c r="D30" s="3168"/>
      <c r="E30" s="3162" t="e">
        <f>ROUND(C30*D30/10000,0)</f>
        <v>#VALUE!</v>
      </c>
      <c r="F30" s="3169" t="s">
        <v>3174</v>
      </c>
      <c r="G30" s="3170"/>
      <c r="H30" s="3170"/>
      <c r="I30" s="3170"/>
      <c r="J30" s="3171"/>
      <c r="K30" s="2962"/>
      <c r="L30" s="2962"/>
      <c r="M30" s="2962"/>
      <c r="N30" s="2962"/>
      <c r="O30" s="3085"/>
      <c r="P30" s="3085"/>
      <c r="Q30" s="3086"/>
      <c r="R30" s="3086"/>
      <c r="S30" s="3086"/>
      <c r="T30" s="3073"/>
      <c r="U30" s="3073"/>
      <c r="V30" s="3073"/>
      <c r="W30" s="3063"/>
      <c r="X30" s="3063"/>
      <c r="Y30" s="3063"/>
      <c r="Z30" s="3087"/>
      <c r="AA30" s="3088"/>
      <c r="AB30" s="3088"/>
      <c r="AC30" s="3088"/>
      <c r="AD30" s="3088"/>
      <c r="AE30" s="3075"/>
      <c r="AF30" s="3075"/>
      <c r="AG30" s="2972"/>
      <c r="AH30" s="2972"/>
      <c r="AI30" s="2972"/>
      <c r="AJ30" s="2972"/>
    </row>
    <row r="31" spans="1:37" ht="14.25">
      <c r="A31" s="3172"/>
      <c r="B31" s="3173" t="s">
        <v>3175</v>
      </c>
      <c r="C31" s="3174" t="s">
        <v>3176</v>
      </c>
      <c r="D31" s="3030"/>
      <c r="E31" s="3174"/>
      <c r="F31" s="3174"/>
      <c r="G31" s="3028" t="s">
        <v>3174</v>
      </c>
      <c r="H31" s="3030"/>
      <c r="I31" s="3175"/>
      <c r="J31" s="3031"/>
      <c r="K31" s="2962"/>
      <c r="L31" s="2962"/>
      <c r="M31" s="2962"/>
      <c r="N31" s="2962"/>
      <c r="O31" s="3085"/>
      <c r="P31" s="3085"/>
      <c r="Q31" s="3086"/>
      <c r="R31" s="3086"/>
      <c r="S31" s="3086"/>
      <c r="T31" s="3073"/>
      <c r="U31" s="3073"/>
      <c r="V31" s="3073"/>
      <c r="W31" s="3063"/>
      <c r="X31" s="3063"/>
      <c r="Y31" s="3063"/>
      <c r="Z31" s="3087"/>
      <c r="AA31" s="3088"/>
      <c r="AB31" s="3088"/>
      <c r="AC31" s="3088"/>
      <c r="AD31" s="3088"/>
      <c r="AE31" s="3075"/>
      <c r="AF31" s="3075"/>
      <c r="AG31" s="2972"/>
      <c r="AH31" s="2972"/>
      <c r="AI31" s="2972"/>
      <c r="AJ31" s="2972"/>
    </row>
    <row r="32" spans="1:37" ht="24">
      <c r="A32" s="3159"/>
      <c r="B32" s="3176"/>
      <c r="C32" s="3177" t="s">
        <v>3168</v>
      </c>
      <c r="D32" s="3178" t="s">
        <v>3169</v>
      </c>
      <c r="E32" s="3178" t="s">
        <v>3170</v>
      </c>
      <c r="F32" s="2960" t="s">
        <v>3177</v>
      </c>
      <c r="G32" s="3179" t="s">
        <v>3168</v>
      </c>
      <c r="H32" s="3179" t="s">
        <v>3169</v>
      </c>
      <c r="I32" s="3179" t="s">
        <v>3170</v>
      </c>
      <c r="J32" s="3180"/>
      <c r="K32" s="2962"/>
      <c r="L32" s="2962"/>
      <c r="M32" s="2962"/>
      <c r="N32" s="2962"/>
      <c r="O32" s="3085"/>
      <c r="P32" s="3085"/>
      <c r="Q32" s="3086"/>
      <c r="R32" s="3086"/>
      <c r="S32" s="3086"/>
      <c r="T32" s="3073"/>
      <c r="U32" s="3073"/>
      <c r="V32" s="3073"/>
      <c r="W32" s="3063"/>
      <c r="X32" s="3063"/>
      <c r="Y32" s="3063"/>
      <c r="Z32" s="3087"/>
      <c r="AA32" s="3088"/>
      <c r="AB32" s="3088"/>
      <c r="AC32" s="3088"/>
      <c r="AD32" s="3088"/>
      <c r="AE32" s="3075"/>
      <c r="AF32" s="3075"/>
      <c r="AG32" s="2972"/>
      <c r="AH32" s="2972"/>
      <c r="AI32" s="2972"/>
      <c r="AJ32" s="2972"/>
    </row>
    <row r="33" spans="1:37" ht="14.25">
      <c r="A33" s="3181"/>
      <c r="B33" s="3182" t="s">
        <v>3178</v>
      </c>
      <c r="C33" s="3144" t="e">
        <f>ROUND(C5*C19*C20*C24*F33,0)</f>
        <v>#VALUE!</v>
      </c>
      <c r="D33" s="3161"/>
      <c r="E33" s="3020" t="e">
        <f>ROUND(C33*D33/10000,0)</f>
        <v>#VALUE!</v>
      </c>
      <c r="F33" s="3020" t="e">
        <f>SUMIF([1]修正!A45:A56,G2,[1]修正!B45:B56)</f>
        <v>#VALUE!</v>
      </c>
      <c r="G33" s="3020" t="e">
        <f t="shared" ref="G33:G39" si="6">ROUND(IF(E2="工业",C33*$M$39,C33*$M$38),0)</f>
        <v>#VALUE!</v>
      </c>
      <c r="H33" s="3020">
        <f>D33</f>
        <v>0</v>
      </c>
      <c r="I33" s="3020" t="e">
        <f>ROUND(G33*H33/10000,0)</f>
        <v>#VALUE!</v>
      </c>
      <c r="J33" s="3183"/>
      <c r="K33" s="2962"/>
      <c r="L33" s="2962"/>
      <c r="M33" s="2962"/>
      <c r="N33" s="2962"/>
      <c r="O33" s="3085"/>
      <c r="P33" s="3085"/>
      <c r="Q33" s="3086"/>
      <c r="R33" s="3086"/>
      <c r="S33" s="3086"/>
      <c r="T33" s="3073"/>
      <c r="U33" s="3073"/>
      <c r="V33" s="3073"/>
      <c r="W33" s="3063"/>
      <c r="X33" s="3063"/>
      <c r="Y33" s="3063"/>
      <c r="Z33" s="3087"/>
      <c r="AA33" s="3088"/>
      <c r="AB33" s="3088"/>
      <c r="AC33" s="3088"/>
      <c r="AD33" s="3088"/>
    </row>
    <row r="34" spans="1:37" ht="14.25">
      <c r="A34" s="3181"/>
      <c r="B34" s="3035" t="s">
        <v>3179</v>
      </c>
      <c r="C34" s="3144" t="e">
        <f>ROUND(C5*C19*C20*C24*F34,0)</f>
        <v>#VALUE!</v>
      </c>
      <c r="D34" s="3161"/>
      <c r="E34" s="3020" t="e">
        <f t="shared" ref="E34:E39" si="7">ROUND(C34*D34/10000,0)</f>
        <v>#VALUE!</v>
      </c>
      <c r="F34" s="3020" t="e">
        <f>SUMIF([1]修正!A45:A56,G2,[1]修正!C45:C56)</f>
        <v>#VALUE!</v>
      </c>
      <c r="G34" s="3020" t="e">
        <f t="shared" si="6"/>
        <v>#VALUE!</v>
      </c>
      <c r="H34" s="3020">
        <f t="shared" ref="H34:H39" si="8">D34</f>
        <v>0</v>
      </c>
      <c r="I34" s="3020" t="e">
        <f t="shared" ref="I34:I39" si="9">ROUND(G34*H34/10000,0)</f>
        <v>#VALUE!</v>
      </c>
      <c r="J34" s="3183"/>
      <c r="K34" s="2962"/>
      <c r="L34" s="2962"/>
      <c r="M34" s="2962"/>
      <c r="N34" s="2962"/>
      <c r="O34" s="3085"/>
      <c r="P34" s="3085"/>
      <c r="Q34" s="3086"/>
      <c r="R34" s="3086"/>
      <c r="S34" s="3086"/>
      <c r="T34" s="3073"/>
      <c r="U34" s="3073"/>
      <c r="V34" s="3073"/>
      <c r="W34" s="3063"/>
      <c r="X34" s="3063"/>
      <c r="Y34" s="3063"/>
      <c r="Z34" s="3087"/>
      <c r="AA34" s="3088"/>
      <c r="AB34" s="3088"/>
      <c r="AC34" s="3088"/>
      <c r="AD34" s="3088"/>
    </row>
    <row r="35" spans="1:37" ht="12.75">
      <c r="A35" s="3181"/>
      <c r="B35" s="3035" t="s">
        <v>3180</v>
      </c>
      <c r="C35" s="3144" t="e">
        <f>ROUND(C5*C19*C20*C24*F35,0)</f>
        <v>#VALUE!</v>
      </c>
      <c r="D35" s="3161"/>
      <c r="E35" s="3020" t="e">
        <f t="shared" si="7"/>
        <v>#VALUE!</v>
      </c>
      <c r="F35" s="3020" t="e">
        <f>SUMIF([1]修正!A45:A56,G2,[1]修正!D45:D56)</f>
        <v>#VALUE!</v>
      </c>
      <c r="G35" s="3020" t="e">
        <f t="shared" si="6"/>
        <v>#VALUE!</v>
      </c>
      <c r="H35" s="3020">
        <f t="shared" si="8"/>
        <v>0</v>
      </c>
      <c r="I35" s="3020" t="e">
        <f t="shared" si="9"/>
        <v>#VALUE!</v>
      </c>
      <c r="J35" s="3183"/>
      <c r="K35" s="2962"/>
      <c r="L35" s="2962"/>
      <c r="M35" s="2962"/>
      <c r="N35" s="2962"/>
      <c r="O35" s="2962"/>
      <c r="P35" s="2962"/>
      <c r="Q35" s="2962"/>
      <c r="R35" s="2962"/>
      <c r="S35" s="2962"/>
      <c r="T35" s="2962"/>
      <c r="U35" s="2962"/>
      <c r="V35" s="2962"/>
      <c r="W35" s="2962"/>
      <c r="X35" s="2962"/>
      <c r="Y35" s="2962"/>
      <c r="Z35" s="3184"/>
    </row>
    <row r="36" spans="1:37" ht="13.5" thickBot="1">
      <c r="A36" s="3181"/>
      <c r="B36" s="3035" t="s">
        <v>3181</v>
      </c>
      <c r="C36" s="3144" t="e">
        <f>ROUND(C5*C19*C20*C24*F36,0)</f>
        <v>#VALUE!</v>
      </c>
      <c r="D36" s="3161"/>
      <c r="E36" s="3020" t="e">
        <f t="shared" si="7"/>
        <v>#VALUE!</v>
      </c>
      <c r="F36" s="3020" t="e">
        <f>SUMIF([1]修正!A45:A56,G2,[1]修正!E45:E56)</f>
        <v>#VALUE!</v>
      </c>
      <c r="G36" s="3020" t="e">
        <f t="shared" si="6"/>
        <v>#VALUE!</v>
      </c>
      <c r="H36" s="3020">
        <f t="shared" si="8"/>
        <v>0</v>
      </c>
      <c r="I36" s="3020" t="e">
        <f t="shared" si="9"/>
        <v>#VALUE!</v>
      </c>
      <c r="J36" s="3183"/>
      <c r="K36" s="2962"/>
      <c r="L36" s="2966"/>
      <c r="M36" s="2966"/>
      <c r="N36" s="2962"/>
      <c r="O36" s="2962"/>
      <c r="P36" s="2962"/>
      <c r="Q36" s="2962"/>
      <c r="R36" s="2962"/>
      <c r="S36" s="2962"/>
      <c r="T36" s="2962"/>
      <c r="U36" s="2962"/>
      <c r="V36" s="2962"/>
      <c r="W36" s="2962"/>
      <c r="X36" s="2962"/>
      <c r="Y36" s="2962"/>
      <c r="Z36" s="3184"/>
    </row>
    <row r="37" spans="1:37" ht="12.75">
      <c r="A37" s="3181"/>
      <c r="B37" s="3035" t="s">
        <v>3182</v>
      </c>
      <c r="C37" s="3020" t="e">
        <f>ROUND(C5*C19*C20*C24*F37,0)</f>
        <v>#VALUE!</v>
      </c>
      <c r="D37" s="3161"/>
      <c r="E37" s="3020" t="e">
        <f t="shared" si="7"/>
        <v>#VALUE!</v>
      </c>
      <c r="F37" s="3144" t="e">
        <f>SUMIF([1]修正!A45:A56,G2,[1]修正!F45:F56)</f>
        <v>#VALUE!</v>
      </c>
      <c r="G37" s="3020" t="e">
        <f t="shared" si="6"/>
        <v>#VALUE!</v>
      </c>
      <c r="H37" s="3020">
        <f t="shared" si="8"/>
        <v>0</v>
      </c>
      <c r="I37" s="3020" t="e">
        <f t="shared" si="9"/>
        <v>#VALUE!</v>
      </c>
      <c r="J37" s="3183"/>
      <c r="K37" s="2962"/>
      <c r="L37" s="3185" t="s">
        <v>3183</v>
      </c>
      <c r="M37" s="3186"/>
      <c r="N37" s="2962"/>
      <c r="O37" s="2962"/>
      <c r="P37" s="2962"/>
      <c r="Q37" s="2962"/>
      <c r="R37" s="2962"/>
      <c r="S37" s="2962"/>
      <c r="T37" s="2962"/>
      <c r="U37" s="2962"/>
      <c r="V37" s="2962"/>
      <c r="W37" s="2962"/>
      <c r="X37" s="2962"/>
      <c r="Y37" s="2962"/>
      <c r="Z37" s="3184"/>
    </row>
    <row r="38" spans="1:37" ht="12.75">
      <c r="A38" s="3181"/>
      <c r="B38" s="3035" t="s">
        <v>3184</v>
      </c>
      <c r="C38" s="3020" t="e">
        <f>ROUND(C5*C19*C20*C24*F38,0)</f>
        <v>#VALUE!</v>
      </c>
      <c r="D38" s="3161"/>
      <c r="E38" s="3020" t="e">
        <f t="shared" si="7"/>
        <v>#VALUE!</v>
      </c>
      <c r="F38" s="3144" t="e">
        <f>SUMIF([1]修正!A45:A56,G2,[1]修正!G45:G56)</f>
        <v>#VALUE!</v>
      </c>
      <c r="G38" s="3020" t="e">
        <f t="shared" si="6"/>
        <v>#VALUE!</v>
      </c>
      <c r="H38" s="3020">
        <f t="shared" si="8"/>
        <v>0</v>
      </c>
      <c r="I38" s="3020" t="e">
        <f t="shared" si="9"/>
        <v>#VALUE!</v>
      </c>
      <c r="J38" s="3183"/>
      <c r="K38" s="2962"/>
      <c r="L38" s="3187" t="s">
        <v>3185</v>
      </c>
      <c r="M38" s="3188">
        <v>0.25</v>
      </c>
      <c r="N38" s="2962"/>
      <c r="O38" s="2962"/>
      <c r="P38" s="2962"/>
      <c r="Q38" s="2962"/>
      <c r="R38" s="2962"/>
      <c r="S38" s="2962"/>
      <c r="T38" s="2962"/>
      <c r="U38" s="2962"/>
      <c r="V38" s="2962"/>
      <c r="W38" s="2962"/>
      <c r="X38" s="2962"/>
      <c r="Y38" s="2962"/>
      <c r="Z38" s="3184"/>
    </row>
    <row r="39" spans="1:37" ht="13.5" thickBot="1">
      <c r="A39" s="3166"/>
      <c r="B39" s="3189" t="s">
        <v>3186</v>
      </c>
      <c r="C39" s="3049" t="e">
        <f>ROUND(C5*C19*C20*C24*F39,0)</f>
        <v>#VALUE!</v>
      </c>
      <c r="D39" s="3168"/>
      <c r="E39" s="3049" t="e">
        <f t="shared" si="7"/>
        <v>#VALUE!</v>
      </c>
      <c r="F39" s="3190" t="e">
        <f>SUMIF([1]修正!A45:A56,G2,[1]修正!H45:H56)</f>
        <v>#VALUE!</v>
      </c>
      <c r="G39" s="3049" t="e">
        <f t="shared" si="6"/>
        <v>#VALUE!</v>
      </c>
      <c r="H39" s="3049">
        <f t="shared" si="8"/>
        <v>0</v>
      </c>
      <c r="I39" s="3049" t="e">
        <f t="shared" si="9"/>
        <v>#VALUE!</v>
      </c>
      <c r="J39" s="3191"/>
      <c r="K39" s="2962"/>
      <c r="L39" s="3192" t="s">
        <v>3187</v>
      </c>
      <c r="M39" s="3193">
        <v>0.15</v>
      </c>
      <c r="N39" s="2962"/>
      <c r="O39" s="2962"/>
      <c r="P39" s="2962"/>
      <c r="Q39" s="2962"/>
      <c r="R39" s="2962"/>
      <c r="S39" s="2962"/>
      <c r="T39" s="2962"/>
      <c r="U39" s="2962"/>
      <c r="V39" s="2962"/>
      <c r="W39" s="2962"/>
      <c r="X39" s="2962"/>
      <c r="Y39" s="2962"/>
      <c r="Z39" s="3184"/>
    </row>
    <row r="40" spans="1:37" s="2962" customFormat="1">
      <c r="Z40" s="3184"/>
      <c r="AA40" s="3184"/>
      <c r="AB40" s="3184"/>
      <c r="AC40" s="3184"/>
      <c r="AD40" s="3184"/>
      <c r="AE40" s="3184"/>
      <c r="AF40" s="3184"/>
      <c r="AG40" s="3184"/>
      <c r="AH40" s="3184"/>
      <c r="AI40" s="3184"/>
      <c r="AJ40" s="3184"/>
    </row>
    <row r="41" spans="1:37" s="2962" customFormat="1">
      <c r="A41" s="3184"/>
      <c r="B41" s="3194"/>
      <c r="Z41" s="3184"/>
      <c r="AA41" s="3184"/>
      <c r="AB41" s="3184"/>
      <c r="AC41" s="3184"/>
      <c r="AD41" s="3184"/>
      <c r="AE41" s="3184"/>
      <c r="AF41" s="3184"/>
      <c r="AG41" s="3184"/>
      <c r="AH41" s="3184"/>
      <c r="AI41" s="3184"/>
      <c r="AJ41" s="3184"/>
    </row>
    <row r="42" spans="1:37" s="2962" customFormat="1">
      <c r="A42" s="3184"/>
      <c r="B42" s="3194"/>
      <c r="Z42" s="3184"/>
      <c r="AA42" s="3184"/>
      <c r="AB42" s="3184"/>
      <c r="AC42" s="3184"/>
      <c r="AD42" s="3184"/>
      <c r="AE42" s="3184"/>
      <c r="AF42" s="3184"/>
      <c r="AG42" s="3184"/>
      <c r="AH42" s="3184"/>
      <c r="AI42" s="3184"/>
      <c r="AJ42" s="3184"/>
    </row>
    <row r="43" spans="1:37" s="2962" customFormat="1">
      <c r="A43" s="3184"/>
      <c r="B43" s="3194"/>
      <c r="Z43" s="3184"/>
      <c r="AA43" s="3184"/>
      <c r="AB43" s="3184"/>
      <c r="AC43" s="3184"/>
      <c r="AD43" s="3184"/>
      <c r="AE43" s="3184"/>
      <c r="AF43" s="3184"/>
      <c r="AG43" s="3184"/>
      <c r="AH43" s="3184"/>
      <c r="AI43" s="3184"/>
      <c r="AJ43" s="3184"/>
    </row>
    <row r="44" spans="1:37" s="2962" customFormat="1">
      <c r="A44" s="3184"/>
      <c r="B44" s="3194"/>
      <c r="Z44" s="3184"/>
      <c r="AA44" s="3184"/>
      <c r="AB44" s="3184"/>
      <c r="AC44" s="3184"/>
      <c r="AD44" s="3184"/>
      <c r="AE44" s="3184"/>
      <c r="AF44" s="3184"/>
      <c r="AG44" s="3184"/>
      <c r="AH44" s="3184"/>
      <c r="AI44" s="3184"/>
      <c r="AJ44" s="3184"/>
    </row>
    <row r="45" spans="1:37" s="2962" customFormat="1" ht="15" thickBot="1">
      <c r="A45" s="3195" t="s">
        <v>3188</v>
      </c>
      <c r="B45" s="3196"/>
      <c r="C45" s="3197"/>
      <c r="D45" s="3198"/>
      <c r="E45" s="3198"/>
      <c r="F45" s="3199"/>
      <c r="G45" s="3200"/>
      <c r="H45" s="3199"/>
      <c r="I45" s="3201"/>
      <c r="J45" s="3201"/>
      <c r="K45" s="3201"/>
      <c r="L45" s="3201"/>
      <c r="M45" s="3201"/>
      <c r="N45" s="3075"/>
      <c r="Z45" s="3184"/>
      <c r="AA45" s="3184"/>
      <c r="AB45" s="3184"/>
      <c r="AC45" s="3184"/>
      <c r="AD45" s="3184"/>
      <c r="AE45" s="3184"/>
      <c r="AF45" s="3184"/>
      <c r="AG45" s="3184"/>
      <c r="AH45" s="3184"/>
      <c r="AI45" s="3184"/>
      <c r="AJ45" s="3184"/>
    </row>
    <row r="46" spans="1:37" s="2962" customFormat="1" ht="15">
      <c r="A46" s="3202" t="s">
        <v>3189</v>
      </c>
      <c r="B46" s="3203">
        <f>1+E48</f>
        <v>1</v>
      </c>
      <c r="C46" s="3204"/>
      <c r="D46" s="3205"/>
      <c r="E46" s="3206"/>
      <c r="F46" s="3207"/>
      <c r="G46" s="3199"/>
      <c r="H46" s="3201"/>
      <c r="I46" s="3201"/>
      <c r="J46" s="3201"/>
      <c r="K46" s="3201"/>
      <c r="L46" s="3201"/>
      <c r="M46" s="3201"/>
      <c r="N46" s="3075"/>
      <c r="Z46" s="3184"/>
      <c r="AA46" s="3184"/>
      <c r="AB46" s="3184"/>
      <c r="AC46" s="3184"/>
      <c r="AD46" s="3184"/>
      <c r="AE46" s="3184"/>
      <c r="AF46" s="3184"/>
      <c r="AG46" s="3184"/>
      <c r="AH46" s="3184"/>
      <c r="AI46" s="3184"/>
      <c r="AJ46" s="3184"/>
    </row>
    <row r="47" spans="1:37" s="2962" customFormat="1" ht="24">
      <c r="A47" s="3208" t="s">
        <v>3190</v>
      </c>
      <c r="B47" s="3209" t="s">
        <v>3191</v>
      </c>
      <c r="C47" s="3210" t="s">
        <v>3192</v>
      </c>
      <c r="D47" s="3211" t="s">
        <v>3193</v>
      </c>
      <c r="E47" s="3212" t="s">
        <v>3194</v>
      </c>
      <c r="F47" s="3213" t="s">
        <v>3195</v>
      </c>
      <c r="G47" s="3211" t="s">
        <v>3196</v>
      </c>
      <c r="H47" s="3214" t="s">
        <v>3197</v>
      </c>
      <c r="I47" s="3211" t="s">
        <v>3198</v>
      </c>
      <c r="J47" s="3215" t="s">
        <v>3199</v>
      </c>
      <c r="K47" s="3215" t="s">
        <v>3200</v>
      </c>
      <c r="L47" s="3215" t="s">
        <v>3201</v>
      </c>
      <c r="M47" s="3215" t="s">
        <v>3202</v>
      </c>
      <c r="N47" s="3215" t="s">
        <v>3203</v>
      </c>
      <c r="AA47" s="3184"/>
      <c r="AB47" s="3184"/>
      <c r="AC47" s="3184"/>
      <c r="AD47" s="3184"/>
      <c r="AE47" s="3184"/>
      <c r="AF47" s="3184"/>
      <c r="AG47" s="3184"/>
      <c r="AH47" s="3184"/>
      <c r="AI47" s="3184"/>
      <c r="AJ47" s="3184"/>
      <c r="AK47" s="3184"/>
    </row>
    <row r="48" spans="1:37" s="2962" customFormat="1" ht="48">
      <c r="A48" s="3208" t="s">
        <v>3204</v>
      </c>
      <c r="B48" s="3216" t="str">
        <f>[1]估价对象房地状况!C4</f>
        <v>估价对象周边商业氛围较成熟，附近有大型商场，人流量较大，商业繁华度较好</v>
      </c>
      <c r="C48" s="3042" t="s">
        <v>3205</v>
      </c>
      <c r="D48" s="3217">
        <f t="shared" ref="D48:D56" si="10">SUMIF($J$47:$N$47,C48,J48:N48)</f>
        <v>0</v>
      </c>
      <c r="E48" s="3218">
        <f>ROUND(SUM(D48:D56),4)</f>
        <v>0</v>
      </c>
      <c r="F48" s="3219" t="str">
        <f>IF(E2="商业",SUMIF(L1:L12,G2,N1:N12),"——")</f>
        <v>——</v>
      </c>
      <c r="G48" s="3220"/>
      <c r="H48" s="3221" t="str">
        <f t="shared" ref="H48:H56" si="11">IFERROR(ROUNDDOWN($F$48*I48/2,4),"——")</f>
        <v>——</v>
      </c>
      <c r="I48" s="3222">
        <v>0.33</v>
      </c>
      <c r="J48" s="3223">
        <f t="shared" ref="J48:J56" si="12">K48+$G48</f>
        <v>0</v>
      </c>
      <c r="K48" s="3223">
        <f t="shared" ref="K48:K56" si="13">$L48+$G48</f>
        <v>0</v>
      </c>
      <c r="L48" s="3223">
        <v>0</v>
      </c>
      <c r="M48" s="3223">
        <f t="shared" ref="M48:N56" si="14">L48-$G48</f>
        <v>0</v>
      </c>
      <c r="N48" s="3223">
        <f t="shared" si="14"/>
        <v>0</v>
      </c>
      <c r="AA48" s="3184"/>
      <c r="AB48" s="3184"/>
      <c r="AC48" s="3184"/>
      <c r="AD48" s="3184"/>
      <c r="AE48" s="3184"/>
      <c r="AF48" s="3184"/>
      <c r="AG48" s="3184"/>
      <c r="AH48" s="3184"/>
      <c r="AI48" s="3184"/>
      <c r="AJ48" s="3184"/>
      <c r="AK48" s="3184"/>
    </row>
    <row r="49" spans="1:37" s="2962" customFormat="1" ht="48">
      <c r="A49" s="3208" t="s">
        <v>3206</v>
      </c>
      <c r="B49" s="3224" t="str">
        <f>[1]估价对象房地状况!C18</f>
        <v>估价对象周边道路通达、公共交通便捷、停车便捷，临地铁亦庄线，综合评价交通便捷度较好</v>
      </c>
      <c r="C49" s="3042" t="s">
        <v>3205</v>
      </c>
      <c r="D49" s="3217">
        <f t="shared" si="10"/>
        <v>0</v>
      </c>
      <c r="E49" s="3225"/>
      <c r="F49" s="3219"/>
      <c r="G49" s="3220"/>
      <c r="H49" s="3221" t="str">
        <f t="shared" si="11"/>
        <v>——</v>
      </c>
      <c r="I49" s="3222">
        <v>0.25</v>
      </c>
      <c r="J49" s="3223">
        <f t="shared" si="12"/>
        <v>0</v>
      </c>
      <c r="K49" s="3223">
        <f t="shared" si="13"/>
        <v>0</v>
      </c>
      <c r="L49" s="3223">
        <v>0</v>
      </c>
      <c r="M49" s="3223">
        <f t="shared" si="14"/>
        <v>0</v>
      </c>
      <c r="N49" s="3223">
        <f t="shared" si="14"/>
        <v>0</v>
      </c>
      <c r="AA49" s="3184"/>
      <c r="AB49" s="3184"/>
      <c r="AC49" s="3184"/>
      <c r="AD49" s="3184"/>
      <c r="AE49" s="3184"/>
      <c r="AF49" s="3184"/>
      <c r="AG49" s="3184"/>
      <c r="AH49" s="3184"/>
      <c r="AI49" s="3184"/>
      <c r="AJ49" s="3184"/>
      <c r="AK49" s="3184"/>
    </row>
    <row r="50" spans="1:37" s="2962" customFormat="1" ht="24">
      <c r="A50" s="3208" t="s">
        <v>3207</v>
      </c>
      <c r="B50" s="3224" t="str">
        <f>[1]估价对象房地状况!C19</f>
        <v>零星有其他用地，基本不影响本宗地</v>
      </c>
      <c r="C50" s="3042" t="s">
        <v>3208</v>
      </c>
      <c r="D50" s="3217">
        <f t="shared" si="10"/>
        <v>0</v>
      </c>
      <c r="E50" s="3225"/>
      <c r="F50" s="3219"/>
      <c r="G50" s="3220"/>
      <c r="H50" s="3221" t="str">
        <f t="shared" si="11"/>
        <v>——</v>
      </c>
      <c r="I50" s="3222">
        <v>0.05</v>
      </c>
      <c r="J50" s="3223">
        <f t="shared" si="12"/>
        <v>0</v>
      </c>
      <c r="K50" s="3223">
        <f t="shared" si="13"/>
        <v>0</v>
      </c>
      <c r="L50" s="3223">
        <v>0</v>
      </c>
      <c r="M50" s="3223">
        <f t="shared" si="14"/>
        <v>0</v>
      </c>
      <c r="N50" s="3223">
        <f t="shared" si="14"/>
        <v>0</v>
      </c>
      <c r="AA50" s="3184"/>
      <c r="AB50" s="3184"/>
      <c r="AC50" s="3184"/>
      <c r="AD50" s="3184"/>
      <c r="AE50" s="3184"/>
      <c r="AF50" s="3184"/>
      <c r="AG50" s="3184"/>
      <c r="AH50" s="3184"/>
      <c r="AI50" s="3184"/>
      <c r="AJ50" s="3184"/>
      <c r="AK50" s="3184"/>
    </row>
    <row r="51" spans="1:37" s="2962" customFormat="1" ht="48">
      <c r="A51" s="3208" t="s">
        <v>3209</v>
      </c>
      <c r="B51" s="3226" t="s">
        <v>3210</v>
      </c>
      <c r="C51" s="3042" t="s">
        <v>3208</v>
      </c>
      <c r="D51" s="3217">
        <f t="shared" si="10"/>
        <v>0</v>
      </c>
      <c r="E51" s="3225"/>
      <c r="F51" s="3219"/>
      <c r="G51" s="3220"/>
      <c r="H51" s="3221" t="str">
        <f t="shared" si="11"/>
        <v>——</v>
      </c>
      <c r="I51" s="3222">
        <v>0.05</v>
      </c>
      <c r="J51" s="3223">
        <f t="shared" si="12"/>
        <v>0</v>
      </c>
      <c r="K51" s="3223">
        <f t="shared" si="13"/>
        <v>0</v>
      </c>
      <c r="L51" s="3223">
        <v>0</v>
      </c>
      <c r="M51" s="3223">
        <f t="shared" si="14"/>
        <v>0</v>
      </c>
      <c r="N51" s="3223">
        <f t="shared" si="14"/>
        <v>0</v>
      </c>
      <c r="AA51" s="3184"/>
      <c r="AB51" s="3184"/>
      <c r="AC51" s="3184"/>
      <c r="AD51" s="3184"/>
      <c r="AE51" s="3184"/>
      <c r="AF51" s="3184"/>
      <c r="AG51" s="3184"/>
      <c r="AH51" s="3184"/>
      <c r="AI51" s="3184"/>
      <c r="AJ51" s="3184"/>
      <c r="AK51" s="3184"/>
    </row>
    <row r="52" spans="1:37" s="2962" customFormat="1" ht="24">
      <c r="A52" s="3208" t="s">
        <v>3211</v>
      </c>
      <c r="B52" s="3224" t="str">
        <f>[1]估价对象房地状况!C24</f>
        <v>城市次干道——荣京西街</v>
      </c>
      <c r="C52" s="3042" t="s">
        <v>3205</v>
      </c>
      <c r="D52" s="3217">
        <f t="shared" si="10"/>
        <v>0</v>
      </c>
      <c r="E52" s="3225"/>
      <c r="F52" s="3219"/>
      <c r="G52" s="3220"/>
      <c r="H52" s="3221" t="str">
        <f t="shared" si="11"/>
        <v>——</v>
      </c>
      <c r="I52" s="3222">
        <v>0.08</v>
      </c>
      <c r="J52" s="3223">
        <f t="shared" si="12"/>
        <v>0</v>
      </c>
      <c r="K52" s="3223">
        <f t="shared" si="13"/>
        <v>0</v>
      </c>
      <c r="L52" s="3223">
        <v>0</v>
      </c>
      <c r="M52" s="3223">
        <f t="shared" si="14"/>
        <v>0</v>
      </c>
      <c r="N52" s="3223">
        <f t="shared" si="14"/>
        <v>0</v>
      </c>
      <c r="AA52" s="3184"/>
      <c r="AB52" s="3184"/>
      <c r="AC52" s="3184"/>
      <c r="AD52" s="3184"/>
      <c r="AE52" s="3184"/>
      <c r="AF52" s="3184"/>
      <c r="AG52" s="3184"/>
      <c r="AH52" s="3184"/>
      <c r="AI52" s="3184"/>
      <c r="AJ52" s="3184"/>
      <c r="AK52" s="3184"/>
    </row>
    <row r="53" spans="1:37" s="2962" customFormat="1" ht="24">
      <c r="A53" s="3208" t="s">
        <v>3212</v>
      </c>
      <c r="B53" s="3227" t="s">
        <v>3213</v>
      </c>
      <c r="C53" s="3042" t="s">
        <v>3208</v>
      </c>
      <c r="D53" s="3217">
        <f t="shared" si="10"/>
        <v>0</v>
      </c>
      <c r="E53" s="3225"/>
      <c r="F53" s="3219"/>
      <c r="G53" s="3220"/>
      <c r="H53" s="3221" t="str">
        <f t="shared" si="11"/>
        <v>——</v>
      </c>
      <c r="I53" s="3222">
        <v>0.03</v>
      </c>
      <c r="J53" s="3223">
        <f t="shared" si="12"/>
        <v>0</v>
      </c>
      <c r="K53" s="3223">
        <f t="shared" si="13"/>
        <v>0</v>
      </c>
      <c r="L53" s="3223">
        <v>0</v>
      </c>
      <c r="M53" s="3223">
        <f t="shared" si="14"/>
        <v>0</v>
      </c>
      <c r="N53" s="3223">
        <f t="shared" si="14"/>
        <v>0</v>
      </c>
      <c r="AA53" s="3184"/>
      <c r="AB53" s="3184"/>
      <c r="AC53" s="3184"/>
      <c r="AD53" s="3184"/>
      <c r="AE53" s="3184"/>
      <c r="AF53" s="3184"/>
      <c r="AG53" s="3184"/>
      <c r="AH53" s="3184"/>
      <c r="AI53" s="3184"/>
      <c r="AJ53" s="3184"/>
      <c r="AK53" s="3184"/>
    </row>
    <row r="54" spans="1:37" s="2962" customFormat="1" ht="24">
      <c r="A54" s="3228" t="s">
        <v>3214</v>
      </c>
      <c r="B54" s="3229" t="str">
        <f>[1]估价对象房地状况!C21</f>
        <v>估价对象所在区域公共配套设施较齐备</v>
      </c>
      <c r="C54" s="3042" t="s">
        <v>3208</v>
      </c>
      <c r="D54" s="3217">
        <f t="shared" si="10"/>
        <v>0</v>
      </c>
      <c r="E54" s="3225"/>
      <c r="F54" s="3219"/>
      <c r="G54" s="3220"/>
      <c r="H54" s="3221" t="str">
        <f t="shared" si="11"/>
        <v>——</v>
      </c>
      <c r="I54" s="3222">
        <v>0.05</v>
      </c>
      <c r="J54" s="3223">
        <f t="shared" si="12"/>
        <v>0</v>
      </c>
      <c r="K54" s="3223">
        <f t="shared" si="13"/>
        <v>0</v>
      </c>
      <c r="L54" s="3223">
        <v>0</v>
      </c>
      <c r="M54" s="3223">
        <f t="shared" si="14"/>
        <v>0</v>
      </c>
      <c r="N54" s="3223">
        <f t="shared" si="14"/>
        <v>0</v>
      </c>
      <c r="AA54" s="3184"/>
      <c r="AB54" s="3184"/>
      <c r="AC54" s="3184"/>
      <c r="AD54" s="3184"/>
      <c r="AE54" s="3184"/>
      <c r="AF54" s="3184"/>
      <c r="AG54" s="3184"/>
      <c r="AH54" s="3184"/>
      <c r="AI54" s="3184"/>
      <c r="AJ54" s="3184"/>
      <c r="AK54" s="3184"/>
    </row>
    <row r="55" spans="1:37" s="2962" customFormat="1" ht="24">
      <c r="A55" s="3228" t="s">
        <v>3215</v>
      </c>
      <c r="B55" s="3224" t="str">
        <f>[1]估价对象房地状况!C22</f>
        <v>估价对象所在区域基础设施水平达七通</v>
      </c>
      <c r="C55" s="3042" t="s">
        <v>3208</v>
      </c>
      <c r="D55" s="3217">
        <f t="shared" si="10"/>
        <v>0</v>
      </c>
      <c r="E55" s="3225"/>
      <c r="F55" s="3219"/>
      <c r="G55" s="3220"/>
      <c r="H55" s="3221" t="str">
        <f t="shared" si="11"/>
        <v>——</v>
      </c>
      <c r="I55" s="3222">
        <v>0.1</v>
      </c>
      <c r="J55" s="3223">
        <f t="shared" si="12"/>
        <v>0</v>
      </c>
      <c r="K55" s="3223">
        <f t="shared" si="13"/>
        <v>0</v>
      </c>
      <c r="L55" s="3223">
        <v>0</v>
      </c>
      <c r="M55" s="3223">
        <f t="shared" si="14"/>
        <v>0</v>
      </c>
      <c r="N55" s="3223">
        <f t="shared" si="14"/>
        <v>0</v>
      </c>
      <c r="AA55" s="3184"/>
      <c r="AB55" s="3184"/>
      <c r="AC55" s="3184"/>
      <c r="AD55" s="3184"/>
      <c r="AE55" s="3184"/>
      <c r="AF55" s="3184"/>
      <c r="AG55" s="3184"/>
      <c r="AH55" s="3184"/>
      <c r="AI55" s="3184"/>
      <c r="AJ55" s="3184"/>
      <c r="AK55" s="3184"/>
    </row>
    <row r="56" spans="1:37" s="2962" customFormat="1" ht="48.75" thickBot="1">
      <c r="A56" s="3230" t="s">
        <v>3216</v>
      </c>
      <c r="B56" s="3231" t="str">
        <f>[1]估价对象房地状况!C20</f>
        <v>临博大公园、国际企业文化园，自然环境好；人文环境一般；综合评价环境状况较好</v>
      </c>
      <c r="C56" s="3042" t="s">
        <v>3208</v>
      </c>
      <c r="D56" s="3217">
        <f t="shared" si="10"/>
        <v>0</v>
      </c>
      <c r="E56" s="3232"/>
      <c r="F56" s="3219"/>
      <c r="G56" s="3220"/>
      <c r="H56" s="3221" t="str">
        <f t="shared" si="11"/>
        <v>——</v>
      </c>
      <c r="I56" s="3233">
        <v>0.06</v>
      </c>
      <c r="J56" s="3223">
        <f t="shared" si="12"/>
        <v>0</v>
      </c>
      <c r="K56" s="3223">
        <f t="shared" si="13"/>
        <v>0</v>
      </c>
      <c r="L56" s="3223">
        <v>0</v>
      </c>
      <c r="M56" s="3223">
        <f t="shared" si="14"/>
        <v>0</v>
      </c>
      <c r="N56" s="3223">
        <f t="shared" si="14"/>
        <v>0</v>
      </c>
      <c r="AA56" s="3184"/>
      <c r="AB56" s="3184"/>
      <c r="AC56" s="3184"/>
      <c r="AD56" s="3184"/>
      <c r="AE56" s="3184"/>
      <c r="AF56" s="3184"/>
      <c r="AG56" s="3184"/>
      <c r="AH56" s="3184"/>
      <c r="AI56" s="3184"/>
      <c r="AJ56" s="3184"/>
      <c r="AK56" s="3184"/>
    </row>
    <row r="57" spans="1:37" s="2962" customFormat="1" ht="15">
      <c r="A57" s="3202" t="s">
        <v>3120</v>
      </c>
      <c r="B57" s="3203">
        <f>1+E59</f>
        <v>1.0807</v>
      </c>
      <c r="C57" s="3234"/>
      <c r="D57" s="3205"/>
      <c r="E57" s="3206"/>
      <c r="F57" s="3207"/>
      <c r="G57" s="3199"/>
      <c r="H57" s="3199"/>
      <c r="I57" s="3199"/>
      <c r="J57" s="3201"/>
      <c r="K57" s="3201"/>
      <c r="L57" s="3201"/>
      <c r="M57" s="3201"/>
      <c r="N57" s="3201"/>
      <c r="AA57" s="3184"/>
      <c r="AB57" s="3184"/>
      <c r="AC57" s="3184"/>
      <c r="AD57" s="3184"/>
      <c r="AE57" s="3184"/>
      <c r="AF57" s="3184"/>
      <c r="AG57" s="3184"/>
      <c r="AH57" s="3184"/>
      <c r="AI57" s="3184"/>
      <c r="AJ57" s="3184"/>
      <c r="AK57" s="3184"/>
    </row>
    <row r="58" spans="1:37" s="2962" customFormat="1" ht="24">
      <c r="A58" s="3208" t="s">
        <v>3217</v>
      </c>
      <c r="B58" s="3209"/>
      <c r="C58" s="3210" t="s">
        <v>3218</v>
      </c>
      <c r="D58" s="3211" t="s">
        <v>3219</v>
      </c>
      <c r="E58" s="3212" t="s">
        <v>3220</v>
      </c>
      <c r="F58" s="3213" t="s">
        <v>3221</v>
      </c>
      <c r="G58" s="3211" t="s">
        <v>3222</v>
      </c>
      <c r="H58" s="3214" t="s">
        <v>3223</v>
      </c>
      <c r="I58" s="3211" t="s">
        <v>3224</v>
      </c>
      <c r="J58" s="3215" t="s">
        <v>3225</v>
      </c>
      <c r="K58" s="3215" t="s">
        <v>3226</v>
      </c>
      <c r="L58" s="3215" t="s">
        <v>3227</v>
      </c>
      <c r="M58" s="3215" t="s">
        <v>3228</v>
      </c>
      <c r="N58" s="3215" t="s">
        <v>3229</v>
      </c>
      <c r="AA58" s="3184"/>
      <c r="AB58" s="3184"/>
      <c r="AC58" s="3184"/>
      <c r="AD58" s="3184"/>
      <c r="AE58" s="3184"/>
      <c r="AF58" s="3184"/>
      <c r="AG58" s="3184"/>
      <c r="AH58" s="3184"/>
      <c r="AI58" s="3184"/>
      <c r="AJ58" s="3184"/>
      <c r="AK58" s="3184"/>
    </row>
    <row r="59" spans="1:37" s="2962" customFormat="1" ht="36">
      <c r="A59" s="3208" t="s">
        <v>3230</v>
      </c>
      <c r="B59" s="3216" t="str">
        <f>[1]估价对象房地状况!C17</f>
        <v>估价对象周边办公楼项目较多，入驻率高，办公集聚程度较好</v>
      </c>
      <c r="C59" s="3235" t="s">
        <v>3205</v>
      </c>
      <c r="D59" s="3217">
        <f t="shared" ref="D59:D67" si="15">SUMIF($J$58:$N$58,C59,J59:N59)</f>
        <v>1.5100000000000001E-2</v>
      </c>
      <c r="E59" s="3218">
        <f>ROUND(SUM(D59:D67),4)</f>
        <v>8.0699999999999994E-2</v>
      </c>
      <c r="F59" s="3219">
        <f>IF(E2="办公",SUMIF(L1:L12,G2,N1:N12),"——")</f>
        <v>0.126</v>
      </c>
      <c r="G59" s="3236">
        <v>1.5100000000000001E-2</v>
      </c>
      <c r="H59" s="3221">
        <f t="shared" ref="H59:H67" si="16">IFERROR(ROUNDDOWN($F$59*I59/2,4),"——")</f>
        <v>1.5100000000000001E-2</v>
      </c>
      <c r="I59" s="3222">
        <v>0.24</v>
      </c>
      <c r="J59" s="3223">
        <f t="shared" ref="J59:J67" si="17">K59+$G59</f>
        <v>3.0200000000000001E-2</v>
      </c>
      <c r="K59" s="3223">
        <f t="shared" ref="K59:K67" si="18">$L59+$G59</f>
        <v>1.5100000000000001E-2</v>
      </c>
      <c r="L59" s="3223">
        <v>0</v>
      </c>
      <c r="M59" s="3223">
        <f t="shared" ref="M59:N67" si="19">L59-$G59</f>
        <v>-1.5100000000000001E-2</v>
      </c>
      <c r="N59" s="3223">
        <f t="shared" si="19"/>
        <v>-3.0200000000000001E-2</v>
      </c>
      <c r="AA59" s="3184"/>
      <c r="AB59" s="3184"/>
      <c r="AC59" s="3184"/>
      <c r="AD59" s="3184"/>
      <c r="AE59" s="3184"/>
      <c r="AF59" s="3184"/>
      <c r="AG59" s="3184"/>
      <c r="AH59" s="3184"/>
      <c r="AI59" s="3184"/>
      <c r="AJ59" s="3184"/>
      <c r="AK59" s="3184"/>
    </row>
    <row r="60" spans="1:37" s="2962" customFormat="1" ht="48">
      <c r="A60" s="3208" t="s">
        <v>3231</v>
      </c>
      <c r="B60" s="3224" t="str">
        <f>[1]估价对象房地状况!C18</f>
        <v>估价对象周边道路通达、公共交通便捷、停车便捷，临地铁亦庄线，综合评价交通便捷度较好</v>
      </c>
      <c r="C60" s="3235" t="s">
        <v>3205</v>
      </c>
      <c r="D60" s="3217">
        <f t="shared" si="15"/>
        <v>1.89E-2</v>
      </c>
      <c r="E60" s="3225"/>
      <c r="F60" s="3219"/>
      <c r="G60" s="3236">
        <v>1.89E-2</v>
      </c>
      <c r="H60" s="3221">
        <f t="shared" si="16"/>
        <v>1.89E-2</v>
      </c>
      <c r="I60" s="3222">
        <v>0.3</v>
      </c>
      <c r="J60" s="3223">
        <f t="shared" si="17"/>
        <v>3.78E-2</v>
      </c>
      <c r="K60" s="3223">
        <f t="shared" si="18"/>
        <v>1.89E-2</v>
      </c>
      <c r="L60" s="3223">
        <v>0</v>
      </c>
      <c r="M60" s="3223">
        <f t="shared" si="19"/>
        <v>-1.89E-2</v>
      </c>
      <c r="N60" s="3223">
        <f t="shared" si="19"/>
        <v>-3.78E-2</v>
      </c>
      <c r="AA60" s="3184"/>
      <c r="AB60" s="3184"/>
      <c r="AC60" s="3184"/>
      <c r="AD60" s="3184"/>
      <c r="AE60" s="3184"/>
      <c r="AF60" s="3184"/>
      <c r="AG60" s="3184"/>
      <c r="AH60" s="3184"/>
      <c r="AI60" s="3184"/>
      <c r="AJ60" s="3184"/>
      <c r="AK60" s="3184"/>
    </row>
    <row r="61" spans="1:37" s="2962" customFormat="1" ht="24">
      <c r="A61" s="3208" t="s">
        <v>3232</v>
      </c>
      <c r="B61" s="3224" t="str">
        <f>[1]估价对象房地状况!C19</f>
        <v>零星有其他用地，基本不影响本宗地</v>
      </c>
      <c r="C61" s="3235" t="s">
        <v>3208</v>
      </c>
      <c r="D61" s="3217">
        <f t="shared" si="15"/>
        <v>0.01</v>
      </c>
      <c r="E61" s="3225"/>
      <c r="F61" s="3219"/>
      <c r="G61" s="3236">
        <v>5.0000000000000001E-3</v>
      </c>
      <c r="H61" s="3221">
        <f t="shared" si="16"/>
        <v>5.0000000000000001E-3</v>
      </c>
      <c r="I61" s="3222">
        <v>0.08</v>
      </c>
      <c r="J61" s="3223">
        <f t="shared" si="17"/>
        <v>0.01</v>
      </c>
      <c r="K61" s="3223">
        <f t="shared" si="18"/>
        <v>5.0000000000000001E-3</v>
      </c>
      <c r="L61" s="3223">
        <v>0</v>
      </c>
      <c r="M61" s="3223">
        <f t="shared" si="19"/>
        <v>-5.0000000000000001E-3</v>
      </c>
      <c r="N61" s="3223">
        <f t="shared" si="19"/>
        <v>-0.01</v>
      </c>
      <c r="AA61" s="3184"/>
      <c r="AB61" s="3184"/>
      <c r="AC61" s="3184"/>
      <c r="AD61" s="3184"/>
      <c r="AE61" s="3184"/>
      <c r="AF61" s="3184"/>
      <c r="AG61" s="3184"/>
      <c r="AH61" s="3184"/>
      <c r="AI61" s="3184"/>
      <c r="AJ61" s="3184"/>
      <c r="AK61" s="3184"/>
    </row>
    <row r="62" spans="1:37" s="2962" customFormat="1" ht="48">
      <c r="A62" s="3208" t="s">
        <v>3233</v>
      </c>
      <c r="B62" s="3226" t="s">
        <v>3234</v>
      </c>
      <c r="C62" s="3042" t="s">
        <v>3208</v>
      </c>
      <c r="D62" s="3217">
        <f t="shared" si="15"/>
        <v>5.0000000000000001E-3</v>
      </c>
      <c r="E62" s="3225"/>
      <c r="F62" s="3219"/>
      <c r="G62" s="3236">
        <v>2.5000000000000001E-3</v>
      </c>
      <c r="H62" s="3221">
        <f t="shared" si="16"/>
        <v>2.5000000000000001E-3</v>
      </c>
      <c r="I62" s="3222">
        <v>0.04</v>
      </c>
      <c r="J62" s="3223">
        <f t="shared" si="17"/>
        <v>5.0000000000000001E-3</v>
      </c>
      <c r="K62" s="3223">
        <f t="shared" si="18"/>
        <v>2.5000000000000001E-3</v>
      </c>
      <c r="L62" s="3223">
        <v>0</v>
      </c>
      <c r="M62" s="3223">
        <f t="shared" si="19"/>
        <v>-2.5000000000000001E-3</v>
      </c>
      <c r="N62" s="3223">
        <f t="shared" si="19"/>
        <v>-5.0000000000000001E-3</v>
      </c>
      <c r="AA62" s="3184"/>
      <c r="AB62" s="3184"/>
      <c r="AC62" s="3184"/>
      <c r="AD62" s="3184"/>
      <c r="AE62" s="3184"/>
      <c r="AF62" s="3184"/>
      <c r="AG62" s="3184"/>
      <c r="AH62" s="3184"/>
      <c r="AI62" s="3184"/>
      <c r="AJ62" s="3184"/>
      <c r="AK62" s="3184"/>
    </row>
    <row r="63" spans="1:37" s="2962" customFormat="1" ht="24">
      <c r="A63" s="3208" t="s">
        <v>3235</v>
      </c>
      <c r="B63" s="3224" t="str">
        <f>[1]估价对象房地状况!C24</f>
        <v>城市次干道——荣京西街</v>
      </c>
      <c r="C63" s="3042" t="s">
        <v>3205</v>
      </c>
      <c r="D63" s="3217">
        <f t="shared" si="15"/>
        <v>3.0999999999999999E-3</v>
      </c>
      <c r="E63" s="3225"/>
      <c r="F63" s="3219"/>
      <c r="G63" s="3236">
        <v>3.0999999999999999E-3</v>
      </c>
      <c r="H63" s="3221">
        <f t="shared" si="16"/>
        <v>3.0999999999999999E-3</v>
      </c>
      <c r="I63" s="3222">
        <v>0.05</v>
      </c>
      <c r="J63" s="3223">
        <f t="shared" si="17"/>
        <v>6.1999999999999998E-3</v>
      </c>
      <c r="K63" s="3223">
        <f t="shared" si="18"/>
        <v>3.0999999999999999E-3</v>
      </c>
      <c r="L63" s="3223">
        <v>0</v>
      </c>
      <c r="M63" s="3223">
        <f t="shared" si="19"/>
        <v>-3.0999999999999999E-3</v>
      </c>
      <c r="N63" s="3223">
        <f t="shared" si="19"/>
        <v>-6.1999999999999998E-3</v>
      </c>
      <c r="AA63" s="3184"/>
      <c r="AB63" s="3184"/>
      <c r="AC63" s="3184"/>
      <c r="AD63" s="3184"/>
      <c r="AE63" s="3184"/>
      <c r="AF63" s="3184"/>
      <c r="AG63" s="3184"/>
      <c r="AH63" s="3184"/>
      <c r="AI63" s="3184"/>
      <c r="AJ63" s="3184"/>
      <c r="AK63" s="3184"/>
    </row>
    <row r="64" spans="1:37" s="2962" customFormat="1" ht="24">
      <c r="A64" s="3208" t="s">
        <v>3236</v>
      </c>
      <c r="B64" s="3227" t="s">
        <v>3213</v>
      </c>
      <c r="C64" s="3042" t="s">
        <v>3208</v>
      </c>
      <c r="D64" s="3217">
        <f t="shared" si="15"/>
        <v>6.1999999999999998E-3</v>
      </c>
      <c r="E64" s="3225"/>
      <c r="F64" s="3219"/>
      <c r="G64" s="3236">
        <v>3.0999999999999999E-3</v>
      </c>
      <c r="H64" s="3221">
        <f t="shared" si="16"/>
        <v>3.0999999999999999E-3</v>
      </c>
      <c r="I64" s="3222">
        <v>0.05</v>
      </c>
      <c r="J64" s="3223">
        <f t="shared" si="17"/>
        <v>6.1999999999999998E-3</v>
      </c>
      <c r="K64" s="3223">
        <f t="shared" si="18"/>
        <v>3.0999999999999999E-3</v>
      </c>
      <c r="L64" s="3223">
        <v>0</v>
      </c>
      <c r="M64" s="3223">
        <f t="shared" si="19"/>
        <v>-3.0999999999999999E-3</v>
      </c>
      <c r="N64" s="3223">
        <f t="shared" si="19"/>
        <v>-6.1999999999999998E-3</v>
      </c>
      <c r="AA64" s="3184"/>
      <c r="AB64" s="3184"/>
      <c r="AC64" s="3184"/>
      <c r="AD64" s="3184"/>
      <c r="AE64" s="3184"/>
      <c r="AF64" s="3184"/>
      <c r="AG64" s="3184"/>
      <c r="AH64" s="3184"/>
      <c r="AI64" s="3184"/>
      <c r="AJ64" s="3184"/>
      <c r="AK64" s="3184"/>
    </row>
    <row r="65" spans="1:37" s="2962" customFormat="1" ht="24">
      <c r="A65" s="3208" t="s">
        <v>3237</v>
      </c>
      <c r="B65" s="3229" t="str">
        <f>[1]估价对象房地状况!C21</f>
        <v>估价对象所在区域公共配套设施较齐备</v>
      </c>
      <c r="C65" s="3235" t="s">
        <v>3205</v>
      </c>
      <c r="D65" s="3217">
        <f t="shared" si="15"/>
        <v>3.7000000000000002E-3</v>
      </c>
      <c r="E65" s="3225"/>
      <c r="F65" s="3219"/>
      <c r="G65" s="3236">
        <v>3.7000000000000002E-3</v>
      </c>
      <c r="H65" s="3221">
        <f t="shared" si="16"/>
        <v>3.7000000000000002E-3</v>
      </c>
      <c r="I65" s="3222">
        <v>0.06</v>
      </c>
      <c r="J65" s="3223">
        <f t="shared" si="17"/>
        <v>7.4000000000000003E-3</v>
      </c>
      <c r="K65" s="3223">
        <f t="shared" si="18"/>
        <v>3.7000000000000002E-3</v>
      </c>
      <c r="L65" s="3223">
        <v>0</v>
      </c>
      <c r="M65" s="3223">
        <f t="shared" si="19"/>
        <v>-3.7000000000000002E-3</v>
      </c>
      <c r="N65" s="3223">
        <f t="shared" si="19"/>
        <v>-7.4000000000000003E-3</v>
      </c>
      <c r="AA65" s="3184"/>
      <c r="AB65" s="3184"/>
      <c r="AC65" s="3184"/>
      <c r="AD65" s="3184"/>
      <c r="AE65" s="3184"/>
      <c r="AF65" s="3184"/>
      <c r="AG65" s="3184"/>
      <c r="AH65" s="3184"/>
      <c r="AI65" s="3184"/>
      <c r="AJ65" s="3184"/>
      <c r="AK65" s="3184"/>
    </row>
    <row r="66" spans="1:37" s="2962" customFormat="1" ht="24">
      <c r="A66" s="3208" t="s">
        <v>3215</v>
      </c>
      <c r="B66" s="3229" t="str">
        <f>[1]估价对象房地状况!C22</f>
        <v>估价对象所在区域基础设施水平达七通</v>
      </c>
      <c r="C66" s="3042" t="s">
        <v>3208</v>
      </c>
      <c r="D66" s="3217">
        <f t="shared" si="15"/>
        <v>1.4999999999999999E-2</v>
      </c>
      <c r="E66" s="3225"/>
      <c r="F66" s="3219"/>
      <c r="G66" s="3236">
        <v>7.4999999999999997E-3</v>
      </c>
      <c r="H66" s="3221">
        <f t="shared" si="16"/>
        <v>7.4999999999999997E-3</v>
      </c>
      <c r="I66" s="3222">
        <v>0.12</v>
      </c>
      <c r="J66" s="3223">
        <f t="shared" si="17"/>
        <v>1.4999999999999999E-2</v>
      </c>
      <c r="K66" s="3223">
        <f t="shared" si="18"/>
        <v>7.4999999999999997E-3</v>
      </c>
      <c r="L66" s="3223">
        <v>0</v>
      </c>
      <c r="M66" s="3223">
        <f t="shared" si="19"/>
        <v>-7.4999999999999997E-3</v>
      </c>
      <c r="N66" s="3223">
        <f t="shared" si="19"/>
        <v>-1.4999999999999999E-2</v>
      </c>
      <c r="AA66" s="3184"/>
      <c r="AB66" s="3184"/>
      <c r="AC66" s="3184"/>
      <c r="AD66" s="3184"/>
      <c r="AE66" s="3184"/>
      <c r="AF66" s="3184"/>
      <c r="AG66" s="3184"/>
      <c r="AH66" s="3184"/>
      <c r="AI66" s="3184"/>
      <c r="AJ66" s="3184"/>
      <c r="AK66" s="3184"/>
    </row>
    <row r="67" spans="1:37" s="2962" customFormat="1" ht="48.75" thickBot="1">
      <c r="A67" s="3230" t="s">
        <v>3216</v>
      </c>
      <c r="B67" s="3237" t="str">
        <f>[1]估价对象房地状况!C20</f>
        <v>临博大公园、国际企业文化园，自然环境好；人文环境一般；综合评价环境状况较好</v>
      </c>
      <c r="C67" s="3235" t="s">
        <v>3205</v>
      </c>
      <c r="D67" s="3217">
        <f t="shared" si="15"/>
        <v>3.7000000000000002E-3</v>
      </c>
      <c r="E67" s="3232"/>
      <c r="F67" s="3219"/>
      <c r="G67" s="3236">
        <v>3.7000000000000002E-3</v>
      </c>
      <c r="H67" s="3221">
        <f t="shared" si="16"/>
        <v>3.7000000000000002E-3</v>
      </c>
      <c r="I67" s="3233">
        <v>0.06</v>
      </c>
      <c r="J67" s="3223">
        <f t="shared" si="17"/>
        <v>7.4000000000000003E-3</v>
      </c>
      <c r="K67" s="3223">
        <f t="shared" si="18"/>
        <v>3.7000000000000002E-3</v>
      </c>
      <c r="L67" s="3223">
        <v>0</v>
      </c>
      <c r="M67" s="3223">
        <f t="shared" si="19"/>
        <v>-3.7000000000000002E-3</v>
      </c>
      <c r="N67" s="3223">
        <f t="shared" si="19"/>
        <v>-7.4000000000000003E-3</v>
      </c>
      <c r="AA67" s="3184"/>
      <c r="AB67" s="3184"/>
      <c r="AC67" s="3184"/>
      <c r="AD67" s="3184"/>
      <c r="AE67" s="3184"/>
      <c r="AF67" s="3184"/>
      <c r="AG67" s="3184"/>
      <c r="AH67" s="3184"/>
      <c r="AI67" s="3184"/>
      <c r="AJ67" s="3184"/>
      <c r="AK67" s="3184"/>
    </row>
    <row r="68" spans="1:37" s="2962" customFormat="1" ht="15">
      <c r="A68" s="3202" t="s">
        <v>3121</v>
      </c>
      <c r="B68" s="3203">
        <f>1+E70</f>
        <v>1</v>
      </c>
      <c r="C68" s="3234"/>
      <c r="D68" s="3205"/>
      <c r="E68" s="3206"/>
      <c r="F68" s="3207"/>
      <c r="G68" s="3199"/>
      <c r="H68" s="3199"/>
      <c r="I68" s="3199"/>
      <c r="J68" s="3201"/>
      <c r="K68" s="3201"/>
      <c r="L68" s="3201"/>
      <c r="M68" s="3201"/>
      <c r="N68" s="3201"/>
      <c r="AA68" s="3184"/>
      <c r="AB68" s="3184"/>
      <c r="AC68" s="3184"/>
      <c r="AD68" s="3184"/>
      <c r="AE68" s="3184"/>
      <c r="AF68" s="3184"/>
      <c r="AG68" s="3184"/>
      <c r="AH68" s="3184"/>
      <c r="AI68" s="3184"/>
      <c r="AJ68" s="3184"/>
      <c r="AK68" s="3184"/>
    </row>
    <row r="69" spans="1:37" s="2962" customFormat="1" ht="24">
      <c r="A69" s="3208" t="s">
        <v>3217</v>
      </c>
      <c r="B69" s="3209"/>
      <c r="C69" s="3210" t="s">
        <v>3218</v>
      </c>
      <c r="D69" s="3211" t="s">
        <v>3219</v>
      </c>
      <c r="E69" s="3212" t="s">
        <v>3220</v>
      </c>
      <c r="F69" s="3213" t="s">
        <v>3221</v>
      </c>
      <c r="G69" s="3211" t="s">
        <v>3222</v>
      </c>
      <c r="H69" s="3214" t="s">
        <v>3223</v>
      </c>
      <c r="I69" s="3211" t="s">
        <v>3224</v>
      </c>
      <c r="J69" s="3215" t="s">
        <v>3225</v>
      </c>
      <c r="K69" s="3215" t="s">
        <v>3226</v>
      </c>
      <c r="L69" s="3215" t="s">
        <v>3227</v>
      </c>
      <c r="M69" s="3215" t="s">
        <v>3228</v>
      </c>
      <c r="N69" s="3215" t="s">
        <v>3229</v>
      </c>
      <c r="AA69" s="3184"/>
      <c r="AB69" s="3184"/>
      <c r="AC69" s="3184"/>
      <c r="AD69" s="3184"/>
      <c r="AE69" s="3184"/>
      <c r="AF69" s="3184"/>
      <c r="AG69" s="3184"/>
      <c r="AH69" s="3184"/>
      <c r="AI69" s="3184"/>
      <c r="AJ69" s="3184"/>
      <c r="AK69" s="3184"/>
    </row>
    <row r="70" spans="1:37" s="2962" customFormat="1" ht="24">
      <c r="A70" s="3208" t="s">
        <v>3238</v>
      </c>
      <c r="B70" s="3216">
        <f>[1]估价对象房地状况!C15</f>
        <v>0</v>
      </c>
      <c r="C70" s="3042" t="s">
        <v>3208</v>
      </c>
      <c r="D70" s="3217">
        <f t="shared" ref="D70:D78" si="20">SUMIF($J$69:$N$69,C70,J70:N70)</f>
        <v>0</v>
      </c>
      <c r="E70" s="3218">
        <f>ROUND(SUM(D70:D78),4)</f>
        <v>0</v>
      </c>
      <c r="F70" s="3219" t="str">
        <f>IF(E2="住宅",SUMIF(L1:L12,G2,N1:N12),"——")</f>
        <v>——</v>
      </c>
      <c r="G70" s="3220"/>
      <c r="H70" s="3221" t="str">
        <f t="shared" ref="H70:H78" si="21">IFERROR(ROUNDDOWN($F$70*I70/2,4),"——")</f>
        <v>——</v>
      </c>
      <c r="I70" s="3222">
        <v>0.14000000000000001</v>
      </c>
      <c r="J70" s="3223">
        <f t="shared" ref="J70:J78" si="22">K70+$G70</f>
        <v>0</v>
      </c>
      <c r="K70" s="3223">
        <f t="shared" ref="K70:K78" si="23">$L70+$G70</f>
        <v>0</v>
      </c>
      <c r="L70" s="3223">
        <v>0</v>
      </c>
      <c r="M70" s="3223">
        <f t="shared" ref="M70:N78" si="24">L70-$G70</f>
        <v>0</v>
      </c>
      <c r="N70" s="3223">
        <f t="shared" si="24"/>
        <v>0</v>
      </c>
      <c r="AA70" s="3184"/>
      <c r="AB70" s="3184"/>
      <c r="AC70" s="3184"/>
      <c r="AD70" s="3184"/>
      <c r="AE70" s="3184"/>
      <c r="AF70" s="3184"/>
      <c r="AG70" s="3184"/>
      <c r="AH70" s="3184"/>
      <c r="AI70" s="3184"/>
      <c r="AJ70" s="3184"/>
      <c r="AK70" s="3184"/>
    </row>
    <row r="71" spans="1:37" s="2962" customFormat="1" ht="48">
      <c r="A71" s="3208" t="s">
        <v>3231</v>
      </c>
      <c r="B71" s="3224" t="str">
        <f>[1]估价对象房地状况!C18</f>
        <v>估价对象周边道路通达、公共交通便捷、停车便捷，临地铁亦庄线，综合评价交通便捷度较好</v>
      </c>
      <c r="C71" s="3042" t="s">
        <v>3208</v>
      </c>
      <c r="D71" s="3217">
        <f t="shared" si="20"/>
        <v>0</v>
      </c>
      <c r="E71" s="3238"/>
      <c r="F71" s="3219"/>
      <c r="G71" s="3220"/>
      <c r="H71" s="3221" t="str">
        <f t="shared" si="21"/>
        <v>——</v>
      </c>
      <c r="I71" s="3222">
        <v>0.3</v>
      </c>
      <c r="J71" s="3223">
        <f t="shared" si="22"/>
        <v>0</v>
      </c>
      <c r="K71" s="3223">
        <f t="shared" si="23"/>
        <v>0</v>
      </c>
      <c r="L71" s="3223">
        <v>0</v>
      </c>
      <c r="M71" s="3223">
        <f t="shared" si="24"/>
        <v>0</v>
      </c>
      <c r="N71" s="3223">
        <f t="shared" si="24"/>
        <v>0</v>
      </c>
      <c r="AA71" s="3184"/>
      <c r="AB71" s="3184"/>
      <c r="AC71" s="3184"/>
      <c r="AD71" s="3184"/>
      <c r="AE71" s="3184"/>
      <c r="AF71" s="3184"/>
      <c r="AG71" s="3184"/>
      <c r="AH71" s="3184"/>
      <c r="AI71" s="3184"/>
      <c r="AJ71" s="3184"/>
      <c r="AK71" s="3184"/>
    </row>
    <row r="72" spans="1:37" s="2962" customFormat="1" ht="24">
      <c r="A72" s="3208" t="s">
        <v>3232</v>
      </c>
      <c r="B72" s="3224" t="str">
        <f>[1]估价对象房地状况!C19</f>
        <v>零星有其他用地，基本不影响本宗地</v>
      </c>
      <c r="C72" s="3042" t="s">
        <v>3208</v>
      </c>
      <c r="D72" s="3217">
        <f t="shared" si="20"/>
        <v>0</v>
      </c>
      <c r="E72" s="3238"/>
      <c r="F72" s="3219"/>
      <c r="G72" s="3220"/>
      <c r="H72" s="3221" t="str">
        <f t="shared" si="21"/>
        <v>——</v>
      </c>
      <c r="I72" s="3222">
        <v>0.08</v>
      </c>
      <c r="J72" s="3223">
        <f t="shared" si="22"/>
        <v>0</v>
      </c>
      <c r="K72" s="3223">
        <f t="shared" si="23"/>
        <v>0</v>
      </c>
      <c r="L72" s="3223">
        <v>0</v>
      </c>
      <c r="M72" s="3223">
        <f t="shared" si="24"/>
        <v>0</v>
      </c>
      <c r="N72" s="3223">
        <f t="shared" si="24"/>
        <v>0</v>
      </c>
      <c r="AA72" s="3184"/>
      <c r="AB72" s="3184"/>
      <c r="AC72" s="3184"/>
      <c r="AD72" s="3184"/>
      <c r="AE72" s="3184"/>
      <c r="AF72" s="3184"/>
      <c r="AG72" s="3184"/>
      <c r="AH72" s="3184"/>
      <c r="AI72" s="3184"/>
      <c r="AJ72" s="3184"/>
      <c r="AK72" s="3184"/>
    </row>
    <row r="73" spans="1:37" s="2962" customFormat="1" ht="14.25">
      <c r="A73" s="3208" t="s">
        <v>3239</v>
      </c>
      <c r="B73" s="3224" t="str">
        <f>[1]估价对象房地状况!C24</f>
        <v>城市次干道——荣京西街</v>
      </c>
      <c r="C73" s="3042" t="s">
        <v>3208</v>
      </c>
      <c r="D73" s="3217">
        <f t="shared" si="20"/>
        <v>0</v>
      </c>
      <c r="E73" s="3238"/>
      <c r="F73" s="3219"/>
      <c r="G73" s="3220"/>
      <c r="H73" s="3221" t="str">
        <f t="shared" si="21"/>
        <v>——</v>
      </c>
      <c r="I73" s="3222">
        <v>0.04</v>
      </c>
      <c r="J73" s="3223">
        <f t="shared" si="22"/>
        <v>0</v>
      </c>
      <c r="K73" s="3223">
        <f t="shared" si="23"/>
        <v>0</v>
      </c>
      <c r="L73" s="3223">
        <v>0</v>
      </c>
      <c r="M73" s="3223">
        <f t="shared" si="24"/>
        <v>0</v>
      </c>
      <c r="N73" s="3223">
        <f t="shared" si="24"/>
        <v>0</v>
      </c>
      <c r="AA73" s="3184"/>
      <c r="AB73" s="3184"/>
      <c r="AC73" s="3184"/>
      <c r="AD73" s="3184"/>
      <c r="AE73" s="3184"/>
      <c r="AF73" s="3184"/>
      <c r="AG73" s="3184"/>
      <c r="AH73" s="3184"/>
      <c r="AI73" s="3184"/>
      <c r="AJ73" s="3184"/>
      <c r="AK73" s="3184"/>
    </row>
    <row r="74" spans="1:37" s="2962" customFormat="1" ht="24">
      <c r="A74" s="3208" t="s">
        <v>3237</v>
      </c>
      <c r="B74" s="3229" t="str">
        <f>[1]估价对象房地状况!C21</f>
        <v>估价对象所在区域公共配套设施较齐备</v>
      </c>
      <c r="C74" s="3042" t="s">
        <v>3208</v>
      </c>
      <c r="D74" s="3217">
        <f t="shared" si="20"/>
        <v>0</v>
      </c>
      <c r="E74" s="3238"/>
      <c r="F74" s="3219"/>
      <c r="G74" s="3220"/>
      <c r="H74" s="3221" t="str">
        <f t="shared" si="21"/>
        <v>——</v>
      </c>
      <c r="I74" s="3222">
        <v>0.08</v>
      </c>
      <c r="J74" s="3223">
        <f t="shared" si="22"/>
        <v>0</v>
      </c>
      <c r="K74" s="3223">
        <f t="shared" si="23"/>
        <v>0</v>
      </c>
      <c r="L74" s="3223">
        <v>0</v>
      </c>
      <c r="M74" s="3223">
        <f t="shared" si="24"/>
        <v>0</v>
      </c>
      <c r="N74" s="3223">
        <f t="shared" si="24"/>
        <v>0</v>
      </c>
      <c r="AA74" s="3184"/>
      <c r="AB74" s="3184"/>
      <c r="AC74" s="3184"/>
      <c r="AD74" s="3184"/>
      <c r="AE74" s="3184"/>
      <c r="AF74" s="3184"/>
      <c r="AG74" s="3184"/>
      <c r="AH74" s="3184"/>
      <c r="AI74" s="3184"/>
      <c r="AJ74" s="3184"/>
      <c r="AK74" s="3184"/>
    </row>
    <row r="75" spans="1:37" s="2962" customFormat="1" ht="24">
      <c r="A75" s="3208" t="s">
        <v>3215</v>
      </c>
      <c r="B75" s="3229" t="str">
        <f>[1]估价对象房地状况!C22</f>
        <v>估价对象所在区域基础设施水平达七通</v>
      </c>
      <c r="C75" s="3042" t="s">
        <v>3208</v>
      </c>
      <c r="D75" s="3217">
        <f t="shared" si="20"/>
        <v>0</v>
      </c>
      <c r="E75" s="3238"/>
      <c r="F75" s="3219"/>
      <c r="G75" s="3220"/>
      <c r="H75" s="3221" t="str">
        <f t="shared" si="21"/>
        <v>——</v>
      </c>
      <c r="I75" s="3222">
        <v>0.12</v>
      </c>
      <c r="J75" s="3223">
        <f t="shared" si="22"/>
        <v>0</v>
      </c>
      <c r="K75" s="3223">
        <f t="shared" si="23"/>
        <v>0</v>
      </c>
      <c r="L75" s="3223">
        <v>0</v>
      </c>
      <c r="M75" s="3223">
        <f t="shared" si="24"/>
        <v>0</v>
      </c>
      <c r="N75" s="3223">
        <f t="shared" si="24"/>
        <v>0</v>
      </c>
      <c r="AA75" s="3184"/>
      <c r="AB75" s="3184"/>
      <c r="AC75" s="3184"/>
      <c r="AD75" s="3184"/>
      <c r="AE75" s="3184"/>
      <c r="AF75" s="3184"/>
      <c r="AG75" s="3184"/>
      <c r="AH75" s="3184"/>
      <c r="AI75" s="3184"/>
      <c r="AJ75" s="3184"/>
      <c r="AK75" s="3184"/>
    </row>
    <row r="76" spans="1:37" s="2966" customFormat="1" ht="24">
      <c r="A76" s="3208" t="s">
        <v>3236</v>
      </c>
      <c r="B76" s="3227" t="s">
        <v>3213</v>
      </c>
      <c r="C76" s="3042" t="s">
        <v>3208</v>
      </c>
      <c r="D76" s="3217">
        <f t="shared" si="20"/>
        <v>0</v>
      </c>
      <c r="E76" s="3238"/>
      <c r="F76" s="3219"/>
      <c r="G76" s="3220"/>
      <c r="H76" s="3221" t="str">
        <f t="shared" si="21"/>
        <v>——</v>
      </c>
      <c r="I76" s="3222">
        <v>0.05</v>
      </c>
      <c r="J76" s="3223">
        <f t="shared" si="22"/>
        <v>0</v>
      </c>
      <c r="K76" s="3223">
        <f t="shared" si="23"/>
        <v>0</v>
      </c>
      <c r="L76" s="3223">
        <v>0</v>
      </c>
      <c r="M76" s="3223">
        <f t="shared" si="24"/>
        <v>0</v>
      </c>
      <c r="N76" s="3223">
        <f t="shared" si="24"/>
        <v>0</v>
      </c>
      <c r="AA76" s="3239"/>
      <c r="AB76" s="3184"/>
      <c r="AC76" s="3184"/>
      <c r="AD76" s="3184"/>
      <c r="AE76" s="3184"/>
      <c r="AF76" s="3184"/>
      <c r="AG76" s="3184"/>
      <c r="AH76" s="3239"/>
      <c r="AI76" s="3239"/>
      <c r="AJ76" s="3239"/>
      <c r="AK76" s="3239"/>
    </row>
    <row r="77" spans="1:37" ht="48">
      <c r="A77" s="3208" t="s">
        <v>3216</v>
      </c>
      <c r="B77" s="3216" t="str">
        <f>[1]估价对象房地状况!C20</f>
        <v>临博大公园、国际企业文化园，自然环境好；人文环境一般；综合评价环境状况较好</v>
      </c>
      <c r="C77" s="3042" t="s">
        <v>3208</v>
      </c>
      <c r="D77" s="3217">
        <f t="shared" si="20"/>
        <v>0</v>
      </c>
      <c r="E77" s="3238"/>
      <c r="F77" s="3219"/>
      <c r="G77" s="3220"/>
      <c r="H77" s="3221" t="str">
        <f t="shared" si="21"/>
        <v>——</v>
      </c>
      <c r="I77" s="3222">
        <v>0.15</v>
      </c>
      <c r="J77" s="3223">
        <f t="shared" si="22"/>
        <v>0</v>
      </c>
      <c r="K77" s="3223">
        <f t="shared" si="23"/>
        <v>0</v>
      </c>
      <c r="L77" s="3223">
        <v>0</v>
      </c>
      <c r="M77" s="3223">
        <f t="shared" si="24"/>
        <v>0</v>
      </c>
      <c r="N77" s="3223">
        <f t="shared" si="24"/>
        <v>0</v>
      </c>
      <c r="Z77" s="2972"/>
      <c r="AA77" s="3090"/>
      <c r="AG77" s="3089"/>
      <c r="AK77" s="3090"/>
    </row>
    <row r="78" spans="1:37" ht="24.75" thickBot="1">
      <c r="A78" s="3230" t="s">
        <v>3240</v>
      </c>
      <c r="B78" s="3240" t="s">
        <v>3241</v>
      </c>
      <c r="C78" s="3042" t="s">
        <v>3208</v>
      </c>
      <c r="D78" s="3217">
        <f t="shared" si="20"/>
        <v>0</v>
      </c>
      <c r="E78" s="3241"/>
      <c r="F78" s="3219"/>
      <c r="G78" s="3220"/>
      <c r="H78" s="3221" t="str">
        <f t="shared" si="21"/>
        <v>——</v>
      </c>
      <c r="I78" s="3233">
        <v>0.04</v>
      </c>
      <c r="J78" s="3223">
        <f t="shared" si="22"/>
        <v>0</v>
      </c>
      <c r="K78" s="3223">
        <f t="shared" si="23"/>
        <v>0</v>
      </c>
      <c r="L78" s="3223">
        <v>0</v>
      </c>
      <c r="M78" s="3223">
        <f t="shared" si="24"/>
        <v>0</v>
      </c>
      <c r="N78" s="3223">
        <f t="shared" si="24"/>
        <v>0</v>
      </c>
      <c r="Z78" s="2972"/>
      <c r="AA78" s="3090"/>
      <c r="AG78" s="3089"/>
      <c r="AK78" s="3090"/>
    </row>
    <row r="79" spans="1:37" ht="15">
      <c r="A79" s="3202" t="s">
        <v>3122</v>
      </c>
      <c r="B79" s="3203">
        <f>1+E81</f>
        <v>1</v>
      </c>
      <c r="C79" s="3234"/>
      <c r="D79" s="3205"/>
      <c r="E79" s="3206"/>
      <c r="F79" s="3207"/>
      <c r="G79" s="3199"/>
      <c r="H79" s="3199"/>
      <c r="I79" s="3199"/>
      <c r="J79" s="3201"/>
      <c r="K79" s="3201"/>
      <c r="L79" s="3201"/>
      <c r="M79" s="3201"/>
      <c r="N79" s="3201"/>
      <c r="Z79" s="2972"/>
      <c r="AA79" s="3090"/>
      <c r="AG79" s="3089"/>
      <c r="AK79" s="3090"/>
    </row>
    <row r="80" spans="1:37" ht="24">
      <c r="A80" s="3208" t="s">
        <v>3217</v>
      </c>
      <c r="B80" s="3209"/>
      <c r="C80" s="3210" t="s">
        <v>3218</v>
      </c>
      <c r="D80" s="3211" t="s">
        <v>3219</v>
      </c>
      <c r="E80" s="3212" t="s">
        <v>3220</v>
      </c>
      <c r="F80" s="3213" t="s">
        <v>3221</v>
      </c>
      <c r="G80" s="3211" t="s">
        <v>3222</v>
      </c>
      <c r="H80" s="3214" t="s">
        <v>3223</v>
      </c>
      <c r="I80" s="3211" t="s">
        <v>3224</v>
      </c>
      <c r="J80" s="3215" t="s">
        <v>3225</v>
      </c>
      <c r="K80" s="3215" t="s">
        <v>3226</v>
      </c>
      <c r="L80" s="3215" t="s">
        <v>3227</v>
      </c>
      <c r="M80" s="3215" t="s">
        <v>3228</v>
      </c>
      <c r="N80" s="3215" t="s">
        <v>3229</v>
      </c>
      <c r="Z80" s="2972"/>
      <c r="AA80" s="3090"/>
      <c r="AG80" s="3089"/>
      <c r="AK80" s="3090"/>
    </row>
    <row r="81" spans="1:37" ht="36">
      <c r="A81" s="3208" t="s">
        <v>3242</v>
      </c>
      <c r="B81" s="3224" t="str">
        <f>[1]估价对象房地状况!G15</f>
        <v>估价对象位于北京经济技术开发区，园区建设成熟，产业集聚程度较好</v>
      </c>
      <c r="C81" s="3042" t="s">
        <v>3243</v>
      </c>
      <c r="D81" s="3217">
        <f t="shared" ref="D81:D88" si="25">SUMIF($J$80:$N$80,C81,J81:N81)</f>
        <v>0</v>
      </c>
      <c r="E81" s="3218">
        <f>ROUND(SUM(D81:D88),4)</f>
        <v>0</v>
      </c>
      <c r="F81" s="3219" t="str">
        <f>IF(E2="工业",SUMIF(L1:L12,G2,N1:N12),"——")</f>
        <v>——</v>
      </c>
      <c r="G81" s="3220"/>
      <c r="H81" s="3221" t="str">
        <f t="shared" ref="H81:H88" si="26">IFERROR(ROUNDDOWN($F$81*I81/2,4),"——")</f>
        <v>——</v>
      </c>
      <c r="I81" s="3222">
        <v>0.26</v>
      </c>
      <c r="J81" s="3223">
        <f t="shared" ref="J81:J88" si="27">K81+$G81</f>
        <v>0</v>
      </c>
      <c r="K81" s="3223">
        <f t="shared" ref="K81:K88" si="28">$L81+$G81</f>
        <v>0</v>
      </c>
      <c r="L81" s="3223">
        <v>0</v>
      </c>
      <c r="M81" s="3223">
        <f t="shared" ref="M81:N88" si="29">L81-$G81</f>
        <v>0</v>
      </c>
      <c r="N81" s="3223">
        <f t="shared" si="29"/>
        <v>0</v>
      </c>
      <c r="Z81" s="2972"/>
      <c r="AA81" s="3090"/>
      <c r="AG81" s="3089"/>
      <c r="AK81" s="3090"/>
    </row>
    <row r="82" spans="1:37" ht="48">
      <c r="A82" s="3208" t="s">
        <v>3231</v>
      </c>
      <c r="B82" s="3224" t="str">
        <f>[1]估价对象房地状况!G16</f>
        <v>估价对象周边道路状况、公共交通通达情况、停车便捷程度，综合评价交通便捷度较好</v>
      </c>
      <c r="C82" s="3042" t="s">
        <v>3243</v>
      </c>
      <c r="D82" s="3217">
        <f t="shared" si="25"/>
        <v>0</v>
      </c>
      <c r="E82" s="3238"/>
      <c r="F82" s="3219"/>
      <c r="G82" s="3220"/>
      <c r="H82" s="3221" t="str">
        <f t="shared" si="26"/>
        <v>——</v>
      </c>
      <c r="I82" s="3222">
        <v>0.33</v>
      </c>
      <c r="J82" s="3223">
        <f t="shared" si="27"/>
        <v>0</v>
      </c>
      <c r="K82" s="3223">
        <f t="shared" si="28"/>
        <v>0</v>
      </c>
      <c r="L82" s="3223">
        <v>0</v>
      </c>
      <c r="M82" s="3223">
        <f t="shared" si="29"/>
        <v>0</v>
      </c>
      <c r="N82" s="3223">
        <f t="shared" si="29"/>
        <v>0</v>
      </c>
      <c r="Z82" s="2972"/>
      <c r="AA82" s="3090"/>
      <c r="AG82" s="3089"/>
      <c r="AK82" s="3090"/>
    </row>
    <row r="83" spans="1:37" ht="24">
      <c r="A83" s="3208" t="s">
        <v>3232</v>
      </c>
      <c r="B83" s="3224" t="str">
        <f>[1]估价对象房地状况!G17</f>
        <v>零星有其他用地，基本不影响本宗地</v>
      </c>
      <c r="C83" s="3042" t="s">
        <v>3243</v>
      </c>
      <c r="D83" s="3217">
        <f t="shared" si="25"/>
        <v>0</v>
      </c>
      <c r="E83" s="3238"/>
      <c r="F83" s="3219"/>
      <c r="G83" s="3220"/>
      <c r="H83" s="3221" t="str">
        <f t="shared" si="26"/>
        <v>——</v>
      </c>
      <c r="I83" s="3222">
        <v>0.05</v>
      </c>
      <c r="J83" s="3223">
        <f t="shared" si="27"/>
        <v>0</v>
      </c>
      <c r="K83" s="3223">
        <f t="shared" si="28"/>
        <v>0</v>
      </c>
      <c r="L83" s="3223">
        <v>0</v>
      </c>
      <c r="M83" s="3223">
        <f t="shared" si="29"/>
        <v>0</v>
      </c>
      <c r="N83" s="3223">
        <f t="shared" si="29"/>
        <v>0</v>
      </c>
      <c r="Z83" s="2972"/>
      <c r="AA83" s="3090"/>
      <c r="AG83" s="3089"/>
      <c r="AK83" s="3090"/>
    </row>
    <row r="84" spans="1:37" ht="14.25">
      <c r="A84" s="3208" t="s">
        <v>3239</v>
      </c>
      <c r="B84" s="3224" t="str">
        <f>[1]估价对象房地状况!G22</f>
        <v>城市次干道——荣京西街</v>
      </c>
      <c r="C84" s="3042" t="s">
        <v>3243</v>
      </c>
      <c r="D84" s="3217">
        <f t="shared" si="25"/>
        <v>0</v>
      </c>
      <c r="E84" s="3238"/>
      <c r="F84" s="3219"/>
      <c r="G84" s="3220"/>
      <c r="H84" s="3221" t="str">
        <f t="shared" si="26"/>
        <v>——</v>
      </c>
      <c r="I84" s="3222">
        <v>0.04</v>
      </c>
      <c r="J84" s="3223">
        <f t="shared" si="27"/>
        <v>0</v>
      </c>
      <c r="K84" s="3223">
        <f t="shared" si="28"/>
        <v>0</v>
      </c>
      <c r="L84" s="3223">
        <v>0</v>
      </c>
      <c r="M84" s="3223">
        <f t="shared" si="29"/>
        <v>0</v>
      </c>
      <c r="N84" s="3223">
        <f t="shared" si="29"/>
        <v>0</v>
      </c>
      <c r="Z84" s="2972"/>
      <c r="AA84" s="3090"/>
      <c r="AG84" s="3089"/>
      <c r="AK84" s="3090"/>
    </row>
    <row r="85" spans="1:37" ht="24">
      <c r="A85" s="3208" t="s">
        <v>3237</v>
      </c>
      <c r="B85" s="3229" t="str">
        <f>[1]估价对象房地状况!G19</f>
        <v>估价对象所在区域公共配套设施齐备情况</v>
      </c>
      <c r="C85" s="3042" t="s">
        <v>3243</v>
      </c>
      <c r="D85" s="3217">
        <f t="shared" si="25"/>
        <v>0</v>
      </c>
      <c r="E85" s="3238"/>
      <c r="F85" s="3219"/>
      <c r="G85" s="3220"/>
      <c r="H85" s="3221" t="str">
        <f t="shared" si="26"/>
        <v>——</v>
      </c>
      <c r="I85" s="3222">
        <v>0.06</v>
      </c>
      <c r="J85" s="3223">
        <f t="shared" si="27"/>
        <v>0</v>
      </c>
      <c r="K85" s="3223">
        <f t="shared" si="28"/>
        <v>0</v>
      </c>
      <c r="L85" s="3223">
        <v>0</v>
      </c>
      <c r="M85" s="3223">
        <f t="shared" si="29"/>
        <v>0</v>
      </c>
      <c r="N85" s="3223">
        <f t="shared" si="29"/>
        <v>0</v>
      </c>
      <c r="Z85" s="2972"/>
      <c r="AA85" s="3090"/>
      <c r="AG85" s="3089"/>
      <c r="AK85" s="3090"/>
    </row>
    <row r="86" spans="1:37" ht="24">
      <c r="A86" s="3208" t="s">
        <v>3215</v>
      </c>
      <c r="B86" s="3229" t="str">
        <f>[1]估价对象房地状况!G20</f>
        <v>估价对象所在区域基础设施水平</v>
      </c>
      <c r="C86" s="3042" t="s">
        <v>3243</v>
      </c>
      <c r="D86" s="3217">
        <f t="shared" si="25"/>
        <v>0</v>
      </c>
      <c r="E86" s="3238"/>
      <c r="F86" s="3219"/>
      <c r="G86" s="3220"/>
      <c r="H86" s="3221" t="str">
        <f t="shared" si="26"/>
        <v>——</v>
      </c>
      <c r="I86" s="3222">
        <v>0.15</v>
      </c>
      <c r="J86" s="3223">
        <f t="shared" si="27"/>
        <v>0</v>
      </c>
      <c r="K86" s="3223">
        <f t="shared" si="28"/>
        <v>0</v>
      </c>
      <c r="L86" s="3223">
        <v>0</v>
      </c>
      <c r="M86" s="3223">
        <f t="shared" si="29"/>
        <v>0</v>
      </c>
      <c r="N86" s="3223">
        <f t="shared" si="29"/>
        <v>0</v>
      </c>
      <c r="Z86" s="2972"/>
      <c r="AA86" s="3090"/>
      <c r="AG86" s="3089"/>
      <c r="AK86" s="3090"/>
    </row>
    <row r="87" spans="1:37" ht="24">
      <c r="A87" s="3208" t="s">
        <v>3236</v>
      </c>
      <c r="B87" s="3227" t="s">
        <v>3213</v>
      </c>
      <c r="C87" s="3042" t="s">
        <v>3243</v>
      </c>
      <c r="D87" s="3217">
        <f t="shared" si="25"/>
        <v>0</v>
      </c>
      <c r="E87" s="3238"/>
      <c r="F87" s="3219"/>
      <c r="G87" s="3220"/>
      <c r="H87" s="3221" t="str">
        <f t="shared" si="26"/>
        <v>——</v>
      </c>
      <c r="I87" s="3222">
        <v>0.05</v>
      </c>
      <c r="J87" s="3223">
        <f t="shared" si="27"/>
        <v>0</v>
      </c>
      <c r="K87" s="3223">
        <f t="shared" si="28"/>
        <v>0</v>
      </c>
      <c r="L87" s="3223">
        <v>0</v>
      </c>
      <c r="M87" s="3223">
        <f t="shared" si="29"/>
        <v>0</v>
      </c>
      <c r="N87" s="3223">
        <f t="shared" si="29"/>
        <v>0</v>
      </c>
      <c r="Z87" s="2972"/>
      <c r="AA87" s="3090"/>
      <c r="AG87" s="3089"/>
      <c r="AK87" s="3090"/>
    </row>
    <row r="88" spans="1:37" ht="36.75" thickBot="1">
      <c r="A88" s="3230" t="s">
        <v>3244</v>
      </c>
      <c r="B88" s="3242" t="str">
        <f>[1]估价对象房地状况!G18</f>
        <v>该园区内无污染型企业，绿化较好，卫生条件良好，整体环境状况较好</v>
      </c>
      <c r="C88" s="3042" t="s">
        <v>3243</v>
      </c>
      <c r="D88" s="3217">
        <f t="shared" si="25"/>
        <v>0</v>
      </c>
      <c r="E88" s="3241"/>
      <c r="F88" s="3219"/>
      <c r="G88" s="3220"/>
      <c r="H88" s="3221" t="str">
        <f t="shared" si="26"/>
        <v>——</v>
      </c>
      <c r="I88" s="3233">
        <v>0.06</v>
      </c>
      <c r="J88" s="3223">
        <f t="shared" si="27"/>
        <v>0</v>
      </c>
      <c r="K88" s="3223">
        <f t="shared" si="28"/>
        <v>0</v>
      </c>
      <c r="L88" s="3223">
        <v>0</v>
      </c>
      <c r="M88" s="3223">
        <f t="shared" si="29"/>
        <v>0</v>
      </c>
      <c r="N88" s="3223">
        <f t="shared" si="29"/>
        <v>0</v>
      </c>
      <c r="Z88" s="2972"/>
      <c r="AA88" s="3090"/>
      <c r="AG88" s="3089"/>
      <c r="AK88" s="3090"/>
    </row>
    <row r="90" spans="1:37">
      <c r="A90" s="3922" t="s">
        <v>3245</v>
      </c>
      <c r="B90" s="3922"/>
      <c r="C90" s="3922"/>
      <c r="D90" s="3922"/>
      <c r="E90" s="3922"/>
      <c r="F90" s="3922"/>
      <c r="G90" s="3922"/>
      <c r="H90" s="3922"/>
      <c r="I90" s="3922"/>
      <c r="J90" s="3922"/>
      <c r="K90" s="3243"/>
      <c r="L90" s="3243"/>
      <c r="M90" s="3243"/>
      <c r="N90" s="3243"/>
    </row>
    <row r="91" spans="1:37">
      <c r="A91" s="3923" t="s">
        <v>3061</v>
      </c>
      <c r="B91" s="3923" t="s">
        <v>3246</v>
      </c>
      <c r="C91" s="3244" t="s">
        <v>3055</v>
      </c>
      <c r="D91" s="3245"/>
      <c r="E91" s="3245"/>
      <c r="F91" s="3245"/>
      <c r="G91" s="3245"/>
      <c r="H91" s="3245"/>
      <c r="I91" s="3245"/>
      <c r="J91" s="3246"/>
      <c r="K91" s="3247"/>
      <c r="L91" s="3247"/>
      <c r="M91" s="3247"/>
      <c r="N91" s="3247"/>
    </row>
    <row r="92" spans="1:37">
      <c r="A92" s="3923"/>
      <c r="B92" s="3923"/>
      <c r="C92" s="3248" t="s">
        <v>3084</v>
      </c>
      <c r="D92" s="3248" t="s">
        <v>3085</v>
      </c>
      <c r="E92" s="3248" t="s">
        <v>3086</v>
      </c>
      <c r="F92" s="3248" t="s">
        <v>3087</v>
      </c>
      <c r="G92" s="3248" t="s">
        <v>3088</v>
      </c>
      <c r="H92" s="3248" t="s">
        <v>3089</v>
      </c>
      <c r="I92" s="3248" t="s">
        <v>3090</v>
      </c>
      <c r="J92" s="3248" t="s">
        <v>3091</v>
      </c>
      <c r="K92" s="3248" t="s">
        <v>3092</v>
      </c>
      <c r="L92" s="3248" t="s">
        <v>3093</v>
      </c>
      <c r="M92" s="3248" t="s">
        <v>3094</v>
      </c>
      <c r="N92" s="3248" t="s">
        <v>3095</v>
      </c>
    </row>
    <row r="93" spans="1:37">
      <c r="A93" s="3924" t="s">
        <v>3247</v>
      </c>
      <c r="B93" s="3249">
        <v>1</v>
      </c>
      <c r="C93" s="3250">
        <v>1.9361999999999999</v>
      </c>
      <c r="D93" s="3250">
        <v>1.9361999999999999</v>
      </c>
      <c r="E93" s="3250">
        <v>1.8629</v>
      </c>
      <c r="F93" s="3250">
        <v>1.8629</v>
      </c>
      <c r="G93" s="3250">
        <v>1.8629</v>
      </c>
      <c r="H93" s="3250">
        <v>1.8629</v>
      </c>
      <c r="I93" s="3250">
        <v>1.8629</v>
      </c>
      <c r="J93" s="3250">
        <v>1.9419999999999999</v>
      </c>
      <c r="K93" s="3250">
        <v>1.9419999999999999</v>
      </c>
      <c r="L93" s="3250">
        <v>1.9419999999999999</v>
      </c>
      <c r="M93" s="3250">
        <v>1.9419999999999999</v>
      </c>
      <c r="N93" s="3250">
        <v>1.9419999999999999</v>
      </c>
    </row>
    <row r="94" spans="1:37">
      <c r="A94" s="3925"/>
      <c r="B94" s="3249">
        <v>2</v>
      </c>
      <c r="C94" s="3250">
        <v>1.4198</v>
      </c>
      <c r="D94" s="3250">
        <v>1.4198</v>
      </c>
      <c r="E94" s="3250">
        <v>1.3371999999999999</v>
      </c>
      <c r="F94" s="3250">
        <v>1.3371999999999999</v>
      </c>
      <c r="G94" s="3250">
        <v>1.3371999999999999</v>
      </c>
      <c r="H94" s="3250">
        <v>1.3371999999999999</v>
      </c>
      <c r="I94" s="3250">
        <v>1.3371999999999999</v>
      </c>
      <c r="J94" s="3250">
        <v>1.2799</v>
      </c>
      <c r="K94" s="3250">
        <v>1.2799</v>
      </c>
      <c r="L94" s="3250">
        <v>1.2799</v>
      </c>
      <c r="M94" s="3250">
        <v>1.2799</v>
      </c>
      <c r="N94" s="3250">
        <v>1.2799</v>
      </c>
    </row>
    <row r="95" spans="1:37">
      <c r="A95" s="3925"/>
      <c r="B95" s="3249">
        <v>3</v>
      </c>
      <c r="C95" s="3250">
        <v>1.1594</v>
      </c>
      <c r="D95" s="3250">
        <v>1.1594</v>
      </c>
      <c r="E95" s="3250">
        <v>1.0788</v>
      </c>
      <c r="F95" s="3250">
        <v>1.0788</v>
      </c>
      <c r="G95" s="3250">
        <v>1.0788</v>
      </c>
      <c r="H95" s="3250">
        <v>1.0788</v>
      </c>
      <c r="I95" s="3250">
        <v>1.0788</v>
      </c>
      <c r="J95" s="3250">
        <v>1.0072000000000001</v>
      </c>
      <c r="K95" s="3250">
        <v>1.0072000000000001</v>
      </c>
      <c r="L95" s="3250">
        <v>1.0072000000000001</v>
      </c>
      <c r="M95" s="3250">
        <v>1.0072000000000001</v>
      </c>
      <c r="N95" s="3250">
        <v>1.0072000000000001</v>
      </c>
    </row>
    <row r="96" spans="1:37">
      <c r="A96" s="3925"/>
      <c r="B96" s="3249">
        <v>4</v>
      </c>
      <c r="C96" s="3250">
        <v>0.96220000000000006</v>
      </c>
      <c r="D96" s="3250">
        <v>0.96220000000000006</v>
      </c>
      <c r="E96" s="3250">
        <v>0.86560000000000004</v>
      </c>
      <c r="F96" s="3250">
        <v>0.86560000000000004</v>
      </c>
      <c r="G96" s="3250">
        <v>0.86560000000000004</v>
      </c>
      <c r="H96" s="3250">
        <v>0.86560000000000004</v>
      </c>
      <c r="I96" s="3250">
        <v>0.86560000000000004</v>
      </c>
      <c r="J96" s="3250">
        <v>0.75249999999999995</v>
      </c>
      <c r="K96" s="3250">
        <v>0.75249999999999995</v>
      </c>
      <c r="L96" s="3250">
        <v>0.75249999999999995</v>
      </c>
      <c r="M96" s="3250">
        <v>0.75249999999999995</v>
      </c>
      <c r="N96" s="3250">
        <v>0.75249999999999995</v>
      </c>
    </row>
    <row r="97" spans="1:14">
      <c r="A97" s="3925"/>
      <c r="B97" s="3249">
        <v>5</v>
      </c>
      <c r="C97" s="3250">
        <v>0.8417</v>
      </c>
      <c r="D97" s="3250">
        <v>0.8417</v>
      </c>
      <c r="E97" s="3250">
        <v>0.73709999999999998</v>
      </c>
      <c r="F97" s="3250">
        <v>0.73709999999999998</v>
      </c>
      <c r="G97" s="3250">
        <v>0.73709999999999998</v>
      </c>
      <c r="H97" s="3250">
        <v>0.73709999999999998</v>
      </c>
      <c r="I97" s="3250">
        <v>0.73709999999999998</v>
      </c>
      <c r="J97" s="3250">
        <v>0.56589999999999996</v>
      </c>
      <c r="K97" s="3250">
        <v>0.56589999999999996</v>
      </c>
      <c r="L97" s="3250">
        <v>0.56589999999999996</v>
      </c>
      <c r="M97" s="3250">
        <v>0.56589999999999996</v>
      </c>
      <c r="N97" s="3250">
        <v>0.56589999999999996</v>
      </c>
    </row>
    <row r="98" spans="1:14">
      <c r="A98" s="3925"/>
      <c r="B98" s="3249">
        <v>6</v>
      </c>
      <c r="C98" s="3250">
        <v>0.76080000000000003</v>
      </c>
      <c r="D98" s="3250">
        <v>0.76080000000000003</v>
      </c>
      <c r="E98" s="3250">
        <v>0.6482</v>
      </c>
      <c r="F98" s="3250">
        <v>0.6482</v>
      </c>
      <c r="G98" s="3250">
        <v>0.6482</v>
      </c>
      <c r="H98" s="3250">
        <v>0.6482</v>
      </c>
      <c r="I98" s="3250">
        <v>0.6482</v>
      </c>
      <c r="J98" s="3250">
        <v>0.45250000000000001</v>
      </c>
      <c r="K98" s="3250">
        <v>0.45250000000000001</v>
      </c>
      <c r="L98" s="3250">
        <v>0.45250000000000001</v>
      </c>
      <c r="M98" s="3250">
        <v>0.45250000000000001</v>
      </c>
      <c r="N98" s="3250">
        <v>0.45250000000000001</v>
      </c>
    </row>
    <row r="99" spans="1:14">
      <c r="A99" s="3925"/>
      <c r="B99" s="3249" t="s">
        <v>3248</v>
      </c>
      <c r="C99" s="3251">
        <f>$I$3</f>
        <v>0</v>
      </c>
      <c r="D99" s="3251">
        <f t="shared" ref="D99:M99" si="30">$I$3</f>
        <v>0</v>
      </c>
      <c r="E99" s="3251">
        <f t="shared" si="30"/>
        <v>0</v>
      </c>
      <c r="F99" s="3251">
        <f t="shared" si="30"/>
        <v>0</v>
      </c>
      <c r="G99" s="3251">
        <f t="shared" si="30"/>
        <v>0</v>
      </c>
      <c r="H99" s="3251">
        <f t="shared" si="30"/>
        <v>0</v>
      </c>
      <c r="I99" s="3251">
        <f t="shared" si="30"/>
        <v>0</v>
      </c>
      <c r="J99" s="3251">
        <f t="shared" si="30"/>
        <v>0</v>
      </c>
      <c r="K99" s="3251">
        <f t="shared" si="30"/>
        <v>0</v>
      </c>
      <c r="L99" s="3251">
        <f t="shared" si="30"/>
        <v>0</v>
      </c>
      <c r="M99" s="3251">
        <f t="shared" si="30"/>
        <v>0</v>
      </c>
      <c r="N99" s="3251">
        <f>$I$3</f>
        <v>0</v>
      </c>
    </row>
    <row r="100" spans="1:14">
      <c r="A100" s="3926"/>
      <c r="B100" s="3249">
        <v>7</v>
      </c>
      <c r="C100" s="3252">
        <f>(-0.163*(C99^2)-0.59*C99+7617)*(10^(-4))</f>
        <v>0.76170000000000004</v>
      </c>
      <c r="D100" s="3252">
        <f>(-0.163*(D99^2)-0.59*D99+7617)*(10^(-4))</f>
        <v>0.76170000000000004</v>
      </c>
      <c r="E100" s="3252">
        <f>(-0.161*(E99^2)-7.509*E99+6533)*(10^(-4))</f>
        <v>0.65329999999999999</v>
      </c>
      <c r="F100" s="3252">
        <f>(-0.161*(F99^2)-7.509*F99+6533)*(10^(-4))</f>
        <v>0.65329999999999999</v>
      </c>
      <c r="G100" s="3252">
        <f>(-0.161*(G99^2)-7.509*G99+6533)*(10^(-4))</f>
        <v>0.65329999999999999</v>
      </c>
      <c r="H100" s="3252">
        <f>(-0.161*(H99^2)-7.509*H99+6533)*(10^(-4))</f>
        <v>0.65329999999999999</v>
      </c>
      <c r="I100" s="3252">
        <f>(-0.161*(I99^2)-7.509*I99+6533)*(10^(-4))</f>
        <v>0.65329999999999999</v>
      </c>
      <c r="J100" s="3252">
        <f>(-0.214*(J99^2)-21.991*J99+4665)*(10^(-4))</f>
        <v>0.46650000000000003</v>
      </c>
      <c r="K100" s="3252">
        <f>(-0.214*(K99^2)-21.991*K99+4665)*(10^(-4))</f>
        <v>0.46650000000000003</v>
      </c>
      <c r="L100" s="3252">
        <f>(-0.214*(L99^2)-21.991*L99+4665)*(10^(-4))</f>
        <v>0.46650000000000003</v>
      </c>
      <c r="M100" s="3252">
        <f>(-0.214*(M99^2)-21.991*M99+4665)*(10^(-4))</f>
        <v>0.46650000000000003</v>
      </c>
      <c r="N100" s="3252">
        <f>(-0.214*(N99^2)-21.991*N99+4665)*(10^(-4))</f>
        <v>0.46650000000000003</v>
      </c>
    </row>
    <row r="101" spans="1:14">
      <c r="A101" s="3924" t="s">
        <v>3249</v>
      </c>
      <c r="B101" s="3253" t="s">
        <v>3078</v>
      </c>
      <c r="C101" s="3254">
        <f>$G$3</f>
        <v>4.71</v>
      </c>
      <c r="D101" s="3254">
        <f t="shared" ref="D101:N101" si="31">$G$3</f>
        <v>4.71</v>
      </c>
      <c r="E101" s="3254">
        <f t="shared" si="31"/>
        <v>4.71</v>
      </c>
      <c r="F101" s="3254">
        <f t="shared" si="31"/>
        <v>4.71</v>
      </c>
      <c r="G101" s="3254">
        <f t="shared" si="31"/>
        <v>4.71</v>
      </c>
      <c r="H101" s="3254">
        <f t="shared" si="31"/>
        <v>4.71</v>
      </c>
      <c r="I101" s="3254">
        <f t="shared" si="31"/>
        <v>4.71</v>
      </c>
      <c r="J101" s="3254">
        <f t="shared" si="31"/>
        <v>4.71</v>
      </c>
      <c r="K101" s="3254">
        <f t="shared" si="31"/>
        <v>4.71</v>
      </c>
      <c r="L101" s="3254">
        <f t="shared" si="31"/>
        <v>4.71</v>
      </c>
      <c r="M101" s="3254">
        <f t="shared" si="31"/>
        <v>4.71</v>
      </c>
      <c r="N101" s="3254">
        <f t="shared" si="31"/>
        <v>4.71</v>
      </c>
    </row>
    <row r="102" spans="1:14">
      <c r="A102" s="3925"/>
      <c r="B102" s="3249">
        <v>1</v>
      </c>
      <c r="C102" s="3250">
        <f>1.9362/C101</f>
        <v>0.41108280254777069</v>
      </c>
      <c r="D102" s="3250">
        <f>1.9362/D101</f>
        <v>0.41108280254777069</v>
      </c>
      <c r="E102" s="3250">
        <f>1.8629/E101</f>
        <v>0.39552016985138005</v>
      </c>
      <c r="F102" s="3250">
        <f>1.8629/F101</f>
        <v>0.39552016985138005</v>
      </c>
      <c r="G102" s="3250">
        <f>1.8629/G101</f>
        <v>0.39552016985138005</v>
      </c>
      <c r="H102" s="3250">
        <f>1.8629/H101</f>
        <v>0.39552016985138005</v>
      </c>
      <c r="I102" s="3250">
        <f>1.8629/I101</f>
        <v>0.39552016985138005</v>
      </c>
      <c r="J102" s="3250">
        <f>1.942/J101</f>
        <v>0.41231422505307858</v>
      </c>
      <c r="K102" s="3250">
        <f>1.942/K101</f>
        <v>0.41231422505307858</v>
      </c>
      <c r="L102" s="3250">
        <f>1.942/L101</f>
        <v>0.41231422505307858</v>
      </c>
      <c r="M102" s="3250">
        <f>1.942/M101</f>
        <v>0.41231422505307858</v>
      </c>
      <c r="N102" s="3250">
        <f>1.942/N101</f>
        <v>0.41231422505307858</v>
      </c>
    </row>
    <row r="103" spans="1:14">
      <c r="A103" s="3925"/>
      <c r="B103" s="3249">
        <v>2</v>
      </c>
      <c r="C103" s="3250">
        <f>1.4198/C101</f>
        <v>0.3014437367303609</v>
      </c>
      <c r="D103" s="3250">
        <f>1.4198/D101</f>
        <v>0.3014437367303609</v>
      </c>
      <c r="E103" s="3250">
        <f>1.3372/E101</f>
        <v>0.28390658174097666</v>
      </c>
      <c r="F103" s="3250">
        <f>1.3372/F101</f>
        <v>0.28390658174097666</v>
      </c>
      <c r="G103" s="3250">
        <f>1.3372/G101</f>
        <v>0.28390658174097666</v>
      </c>
      <c r="H103" s="3250">
        <f>1.3372/H101</f>
        <v>0.28390658174097666</v>
      </c>
      <c r="I103" s="3250">
        <f>1.3372/I101</f>
        <v>0.28390658174097666</v>
      </c>
      <c r="J103" s="3250">
        <f>1.2799/J101</f>
        <v>0.27174097664543523</v>
      </c>
      <c r="K103" s="3250">
        <f>1.2799/K101</f>
        <v>0.27174097664543523</v>
      </c>
      <c r="L103" s="3250">
        <f>1.2799/L101</f>
        <v>0.27174097664543523</v>
      </c>
      <c r="M103" s="3250">
        <f>1.2799/M101</f>
        <v>0.27174097664543523</v>
      </c>
      <c r="N103" s="3250">
        <f>1.2799/N101</f>
        <v>0.27174097664543523</v>
      </c>
    </row>
    <row r="104" spans="1:14">
      <c r="A104" s="3925"/>
      <c r="B104" s="3249">
        <v>3</v>
      </c>
      <c r="C104" s="3250">
        <f>1.1594/C101</f>
        <v>0.24615711252653927</v>
      </c>
      <c r="D104" s="3250">
        <f>1.1594/D101</f>
        <v>0.24615711252653927</v>
      </c>
      <c r="E104" s="3250">
        <f>1.0788/E101</f>
        <v>0.22904458598726116</v>
      </c>
      <c r="F104" s="3250">
        <f>1.0788/F101</f>
        <v>0.22904458598726116</v>
      </c>
      <c r="G104" s="3250">
        <f>1.0788/G101</f>
        <v>0.22904458598726116</v>
      </c>
      <c r="H104" s="3250">
        <f>1.0788/H101</f>
        <v>0.22904458598726116</v>
      </c>
      <c r="I104" s="3250">
        <f>1.0788/I101</f>
        <v>0.22904458598726116</v>
      </c>
      <c r="J104" s="3250">
        <f>1.0072/J101</f>
        <v>0.21384288747346075</v>
      </c>
      <c r="K104" s="3250">
        <f>1.0072/K101</f>
        <v>0.21384288747346075</v>
      </c>
      <c r="L104" s="3250">
        <f>1.0072/L101</f>
        <v>0.21384288747346075</v>
      </c>
      <c r="M104" s="3250">
        <f>1.0072/M101</f>
        <v>0.21384288747346075</v>
      </c>
      <c r="N104" s="3250">
        <f>1.0072/N101</f>
        <v>0.21384288747346075</v>
      </c>
    </row>
    <row r="105" spans="1:14">
      <c r="A105" s="3925"/>
      <c r="B105" s="3249">
        <v>4</v>
      </c>
      <c r="C105" s="3250">
        <f>0.9622/C101</f>
        <v>0.20428874734607219</v>
      </c>
      <c r="D105" s="3250">
        <f>0.9622/D101</f>
        <v>0.20428874734607219</v>
      </c>
      <c r="E105" s="3250">
        <f>0.8656/E101</f>
        <v>0.1837791932059448</v>
      </c>
      <c r="F105" s="3250">
        <f>0.8656/F101</f>
        <v>0.1837791932059448</v>
      </c>
      <c r="G105" s="3250">
        <f>0.8656/G101</f>
        <v>0.1837791932059448</v>
      </c>
      <c r="H105" s="3250">
        <f>0.8656/H101</f>
        <v>0.1837791932059448</v>
      </c>
      <c r="I105" s="3250">
        <f>0.8656/I101</f>
        <v>0.1837791932059448</v>
      </c>
      <c r="J105" s="3250">
        <f>0.7525/J101</f>
        <v>0.15976645435244161</v>
      </c>
      <c r="K105" s="3250">
        <f>0.7525/K101</f>
        <v>0.15976645435244161</v>
      </c>
      <c r="L105" s="3250">
        <f>0.7525/L101</f>
        <v>0.15976645435244161</v>
      </c>
      <c r="M105" s="3250">
        <f>0.7525/M101</f>
        <v>0.15976645435244161</v>
      </c>
      <c r="N105" s="3250">
        <f>0.7525/N101</f>
        <v>0.15976645435244161</v>
      </c>
    </row>
    <row r="106" spans="1:14">
      <c r="A106" s="3925"/>
      <c r="B106" s="3249">
        <v>5</v>
      </c>
      <c r="C106" s="3250">
        <f>0.8417/C101</f>
        <v>0.17870488322717623</v>
      </c>
      <c r="D106" s="3250">
        <f>0.8417/D101</f>
        <v>0.17870488322717623</v>
      </c>
      <c r="E106" s="3250">
        <f>0.7371/E101</f>
        <v>0.15649681528662421</v>
      </c>
      <c r="F106" s="3250">
        <f>0.7371/F101</f>
        <v>0.15649681528662421</v>
      </c>
      <c r="G106" s="3250">
        <f>0.7371/G101</f>
        <v>0.15649681528662421</v>
      </c>
      <c r="H106" s="3250">
        <f>0.7371/H101</f>
        <v>0.15649681528662421</v>
      </c>
      <c r="I106" s="3250">
        <f>0.7371/I101</f>
        <v>0.15649681528662421</v>
      </c>
      <c r="J106" s="3250">
        <f>0.5659/J101</f>
        <v>0.12014861995753714</v>
      </c>
      <c r="K106" s="3250">
        <f>0.5659/K101</f>
        <v>0.12014861995753714</v>
      </c>
      <c r="L106" s="3250">
        <f>0.5659/L101</f>
        <v>0.12014861995753714</v>
      </c>
      <c r="M106" s="3250">
        <f>0.5659/M101</f>
        <v>0.12014861995753714</v>
      </c>
      <c r="N106" s="3250">
        <f>0.5659/N101</f>
        <v>0.12014861995753714</v>
      </c>
    </row>
    <row r="107" spans="1:14">
      <c r="A107" s="3925"/>
      <c r="B107" s="3249">
        <v>6</v>
      </c>
      <c r="C107" s="3250">
        <f>0.7608/C101</f>
        <v>0.16152866242038216</v>
      </c>
      <c r="D107" s="3250">
        <f>0.7608/D101</f>
        <v>0.16152866242038216</v>
      </c>
      <c r="E107" s="3250">
        <f>0.6482/E101</f>
        <v>0.13762208067940551</v>
      </c>
      <c r="F107" s="3250">
        <f>0.6482/F101</f>
        <v>0.13762208067940551</v>
      </c>
      <c r="G107" s="3250">
        <f>0.6482/G101</f>
        <v>0.13762208067940551</v>
      </c>
      <c r="H107" s="3250">
        <f>0.6482/H101</f>
        <v>0.13762208067940551</v>
      </c>
      <c r="I107" s="3250">
        <f>0.6482/I101</f>
        <v>0.13762208067940551</v>
      </c>
      <c r="J107" s="3250">
        <f>0.4525/J101</f>
        <v>9.6072186836518053E-2</v>
      </c>
      <c r="K107" s="3250">
        <f>0.4525/K101</f>
        <v>9.6072186836518053E-2</v>
      </c>
      <c r="L107" s="3250">
        <f>0.4525/L101</f>
        <v>9.6072186836518053E-2</v>
      </c>
      <c r="M107" s="3250">
        <f>0.4525/M101</f>
        <v>9.6072186836518053E-2</v>
      </c>
      <c r="N107" s="3250">
        <f>0.4525/N101</f>
        <v>9.6072186836518053E-2</v>
      </c>
    </row>
    <row r="108" spans="1:14">
      <c r="A108" s="3925"/>
      <c r="B108" s="3927" t="s">
        <v>3108</v>
      </c>
      <c r="C108" s="3251">
        <f>C99</f>
        <v>0</v>
      </c>
      <c r="D108" s="3251">
        <f t="shared" ref="D108:N108" si="32">D99</f>
        <v>0</v>
      </c>
      <c r="E108" s="3251">
        <f t="shared" si="32"/>
        <v>0</v>
      </c>
      <c r="F108" s="3251">
        <f t="shared" si="32"/>
        <v>0</v>
      </c>
      <c r="G108" s="3251">
        <f t="shared" si="32"/>
        <v>0</v>
      </c>
      <c r="H108" s="3251">
        <f t="shared" si="32"/>
        <v>0</v>
      </c>
      <c r="I108" s="3251">
        <f t="shared" si="32"/>
        <v>0</v>
      </c>
      <c r="J108" s="3251">
        <f t="shared" si="32"/>
        <v>0</v>
      </c>
      <c r="K108" s="3251">
        <f t="shared" si="32"/>
        <v>0</v>
      </c>
      <c r="L108" s="3251">
        <f t="shared" si="32"/>
        <v>0</v>
      </c>
      <c r="M108" s="3251">
        <f t="shared" si="32"/>
        <v>0</v>
      </c>
      <c r="N108" s="3251">
        <f t="shared" si="32"/>
        <v>0</v>
      </c>
    </row>
    <row r="109" spans="1:14">
      <c r="A109" s="3926"/>
      <c r="B109" s="3928"/>
      <c r="C109" s="3252">
        <f>(-0.163*(C108^2)-0.59*C108+7617)*(10^(-4))/C101</f>
        <v>0.16171974522292995</v>
      </c>
      <c r="D109" s="3252">
        <f>(-0.163*(D108^2)-0.59*D108+7617)*(10^(-4))/D101</f>
        <v>0.16171974522292995</v>
      </c>
      <c r="E109" s="3252">
        <f>(-0.161*(E108^2)-7.509*E108+6533)*(10^(-4))/E101</f>
        <v>0.13870488322717622</v>
      </c>
      <c r="F109" s="3252">
        <f>(-0.161*(F108^2)-7.509*F108+6533)*(10^(-4))/F101</f>
        <v>0.13870488322717622</v>
      </c>
      <c r="G109" s="3252">
        <f>(-0.161*(G108^2)-7.509*G108+6533)*(10^(-4))/G101</f>
        <v>0.13870488322717622</v>
      </c>
      <c r="H109" s="3252">
        <f>(-0.161*(H108^2)-7.509*H108+6533)*(10^(-4))/H101</f>
        <v>0.13870488322717622</v>
      </c>
      <c r="I109" s="3252">
        <f>(-0.161*(I108^2)-7.509*I108+6533)*(10^(-4))/I101</f>
        <v>0.13870488322717622</v>
      </c>
      <c r="J109" s="3252">
        <f>(-0.214*(J108^2)-21.991*J108+4665)*(10^(-4))/J101</f>
        <v>9.9044585987261152E-2</v>
      </c>
      <c r="K109" s="3252">
        <f>(-0.214*(K108^2)-21.991*K108+4665)*(10^(-4))/K101</f>
        <v>9.9044585987261152E-2</v>
      </c>
      <c r="L109" s="3252">
        <f>(-0.214*(L108^2)-21.991*L108+4665)*(10^(-4))/L101</f>
        <v>9.9044585987261152E-2</v>
      </c>
      <c r="M109" s="3252">
        <f>(-0.214*(M108^2)-21.991*M108+4665)*(10^(-4))/M101</f>
        <v>9.9044585987261152E-2</v>
      </c>
      <c r="N109" s="3252">
        <f>(-0.214*(N108^2)-21.991*N108+4665)*(10^(-4))/N101</f>
        <v>9.9044585987261152E-2</v>
      </c>
    </row>
    <row r="110" spans="1:14">
      <c r="A110" s="3919" t="s">
        <v>3250</v>
      </c>
      <c r="B110" s="3919"/>
      <c r="C110" s="3919"/>
      <c r="D110" s="3919"/>
      <c r="E110" s="3919"/>
      <c r="F110" s="3919"/>
      <c r="G110" s="3919"/>
      <c r="H110" s="3919"/>
      <c r="I110" s="3919"/>
      <c r="J110" s="3919"/>
      <c r="K110" s="3255"/>
      <c r="L110" s="3255"/>
      <c r="M110" s="3255"/>
      <c r="N110" s="3255"/>
    </row>
    <row r="112" spans="1:14" ht="12.75" thickBot="1"/>
    <row r="113" spans="1:13" ht="25.5" thickBot="1">
      <c r="A113" s="3257" t="s">
        <v>3251</v>
      </c>
      <c r="B113" s="3258">
        <f>G3</f>
        <v>4.71</v>
      </c>
      <c r="C113" s="3259" t="s">
        <v>3252</v>
      </c>
      <c r="D113" s="3260">
        <f>SUMPRODUCT((A115:A118=F113)*(B114:M114=H113)*B115:M118)</f>
        <v>0.79549999999999998</v>
      </c>
      <c r="E113" s="2976" t="s">
        <v>3253</v>
      </c>
      <c r="F113" s="3261" t="str">
        <f>E2</f>
        <v>办公</v>
      </c>
      <c r="G113" s="2976" t="s">
        <v>3254</v>
      </c>
      <c r="H113" s="3261" t="str">
        <f>G2</f>
        <v>六级</v>
      </c>
      <c r="I113" s="2976"/>
      <c r="J113" s="3262"/>
      <c r="K113" s="3262"/>
      <c r="L113" s="3262"/>
      <c r="M113" s="3262"/>
    </row>
    <row r="114" spans="1:13" ht="12.75">
      <c r="A114" s="3263"/>
      <c r="B114" s="3264" t="s">
        <v>3255</v>
      </c>
      <c r="C114" s="3264" t="s">
        <v>3256</v>
      </c>
      <c r="D114" s="3264" t="s">
        <v>3257</v>
      </c>
      <c r="E114" s="3265" t="s">
        <v>160</v>
      </c>
      <c r="F114" s="3265" t="s">
        <v>3258</v>
      </c>
      <c r="G114" s="3265" t="s">
        <v>3259</v>
      </c>
      <c r="H114" s="3266" t="s">
        <v>3260</v>
      </c>
      <c r="I114" s="3266" t="s">
        <v>3261</v>
      </c>
      <c r="J114" s="3267" t="s">
        <v>3262</v>
      </c>
      <c r="K114" s="3267" t="s">
        <v>3263</v>
      </c>
      <c r="L114" s="3267" t="s">
        <v>167</v>
      </c>
      <c r="M114" s="3268" t="s">
        <v>3264</v>
      </c>
    </row>
    <row r="115" spans="1:13" ht="12.75">
      <c r="A115" s="3269" t="s">
        <v>3265</v>
      </c>
      <c r="B115" s="3270">
        <f>ROUND(0.9335-0.0094*B113,4)</f>
        <v>0.88919999999999999</v>
      </c>
      <c r="C115" s="3270">
        <f>B115</f>
        <v>0.88919999999999999</v>
      </c>
      <c r="D115" s="3270">
        <f>ROUND(0.8331-0.0109*B113,4)</f>
        <v>0.78180000000000005</v>
      </c>
      <c r="E115" s="3270">
        <f>D115</f>
        <v>0.78180000000000005</v>
      </c>
      <c r="F115" s="3270">
        <f>E115</f>
        <v>0.78180000000000005</v>
      </c>
      <c r="G115" s="3270">
        <f>F115</f>
        <v>0.78180000000000005</v>
      </c>
      <c r="H115" s="3270">
        <f>G115</f>
        <v>0.78180000000000005</v>
      </c>
      <c r="I115" s="3270">
        <f>ROUND(0.689-0.0155*B113,4)</f>
        <v>0.61599999999999999</v>
      </c>
      <c r="J115" s="3270">
        <f t="shared" ref="J115:M118" si="33">I115</f>
        <v>0.61599999999999999</v>
      </c>
      <c r="K115" s="3270">
        <f t="shared" si="33"/>
        <v>0.61599999999999999</v>
      </c>
      <c r="L115" s="3270">
        <f t="shared" si="33"/>
        <v>0.61599999999999999</v>
      </c>
      <c r="M115" s="3271">
        <f t="shared" si="33"/>
        <v>0.61599999999999999</v>
      </c>
    </row>
    <row r="116" spans="1:13" ht="12.75">
      <c r="A116" s="3269" t="s">
        <v>3266</v>
      </c>
      <c r="B116" s="3270">
        <f>ROUND(0.949-0.012*B113,4)</f>
        <v>0.89249999999999996</v>
      </c>
      <c r="C116" s="3270">
        <f>B116</f>
        <v>0.89249999999999996</v>
      </c>
      <c r="D116" s="3270">
        <f>ROUND(0.8567-0.013*B113,4)</f>
        <v>0.79549999999999998</v>
      </c>
      <c r="E116" s="3270">
        <f t="shared" ref="E116:H117" si="34">D116</f>
        <v>0.79549999999999998</v>
      </c>
      <c r="F116" s="3270">
        <f t="shared" si="34"/>
        <v>0.79549999999999998</v>
      </c>
      <c r="G116" s="3270">
        <f t="shared" si="34"/>
        <v>0.79549999999999998</v>
      </c>
      <c r="H116" s="3270">
        <f t="shared" si="34"/>
        <v>0.79549999999999998</v>
      </c>
      <c r="I116" s="3270">
        <f>ROUND(0.7694-0.014*B113,4)</f>
        <v>0.70350000000000001</v>
      </c>
      <c r="J116" s="3270">
        <f t="shared" si="33"/>
        <v>0.70350000000000001</v>
      </c>
      <c r="K116" s="3270">
        <f t="shared" si="33"/>
        <v>0.70350000000000001</v>
      </c>
      <c r="L116" s="3270">
        <f t="shared" si="33"/>
        <v>0.70350000000000001</v>
      </c>
      <c r="M116" s="3271">
        <f t="shared" si="33"/>
        <v>0.70350000000000001</v>
      </c>
    </row>
    <row r="117" spans="1:13" ht="12.75">
      <c r="A117" s="3272" t="s">
        <v>3267</v>
      </c>
      <c r="B117" s="3270">
        <f>ROUND(0.8808-0.006*B113,4)</f>
        <v>0.85250000000000004</v>
      </c>
      <c r="C117" s="3270">
        <f>B117</f>
        <v>0.85250000000000004</v>
      </c>
      <c r="D117" s="3270">
        <f>ROUND(0.8748-0.008*B113,4)</f>
        <v>0.83709999999999996</v>
      </c>
      <c r="E117" s="3270">
        <f t="shared" si="34"/>
        <v>0.83709999999999996</v>
      </c>
      <c r="F117" s="3270">
        <f t="shared" si="34"/>
        <v>0.83709999999999996</v>
      </c>
      <c r="G117" s="3270">
        <f t="shared" si="34"/>
        <v>0.83709999999999996</v>
      </c>
      <c r="H117" s="3270">
        <f t="shared" si="34"/>
        <v>0.83709999999999996</v>
      </c>
      <c r="I117" s="3270">
        <f>ROUND(0.7412-0.0095*B113,4)</f>
        <v>0.69650000000000001</v>
      </c>
      <c r="J117" s="3270">
        <f t="shared" si="33"/>
        <v>0.69650000000000001</v>
      </c>
      <c r="K117" s="3270">
        <f t="shared" si="33"/>
        <v>0.69650000000000001</v>
      </c>
      <c r="L117" s="3270">
        <f t="shared" si="33"/>
        <v>0.69650000000000001</v>
      </c>
      <c r="M117" s="3271">
        <f t="shared" si="33"/>
        <v>0.69650000000000001</v>
      </c>
    </row>
    <row r="118" spans="1:13" ht="13.5" thickBot="1">
      <c r="A118" s="3273" t="s">
        <v>3268</v>
      </c>
      <c r="B118" s="3274">
        <f>ROUND(0.7275-0.01*B113,4)</f>
        <v>0.6804</v>
      </c>
      <c r="C118" s="3274">
        <f>B118</f>
        <v>0.6804</v>
      </c>
      <c r="D118" s="3274">
        <f>ROUND(0.7043-0.012*B113,4)</f>
        <v>0.64780000000000004</v>
      </c>
      <c r="E118" s="3274">
        <f>D118</f>
        <v>0.64780000000000004</v>
      </c>
      <c r="F118" s="3274">
        <f>E118</f>
        <v>0.64780000000000004</v>
      </c>
      <c r="G118" s="3274">
        <f>ROUND(0.6299-0.0122*B113,4)</f>
        <v>0.57240000000000002</v>
      </c>
      <c r="H118" s="3274">
        <f>G118</f>
        <v>0.57240000000000002</v>
      </c>
      <c r="I118" s="3274">
        <f>ROUND(0.5667-0.0136*B113,4)</f>
        <v>0.50260000000000005</v>
      </c>
      <c r="J118" s="3274">
        <f t="shared" si="33"/>
        <v>0.50260000000000005</v>
      </c>
      <c r="K118" s="3274">
        <f t="shared" si="33"/>
        <v>0.50260000000000005</v>
      </c>
      <c r="L118" s="3274">
        <f t="shared" si="33"/>
        <v>0.50260000000000005</v>
      </c>
      <c r="M118" s="3275">
        <f t="shared" si="33"/>
        <v>0.50260000000000005</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143"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0</v>
      </c>
      <c r="D5" s="1822" t="s">
        <v>1603</v>
      </c>
      <c r="E5" s="1292"/>
      <c r="F5" s="1293"/>
      <c r="G5" s="1851"/>
      <c r="H5" s="344">
        <v>1</v>
      </c>
      <c r="I5" s="345" t="s">
        <v>1602</v>
      </c>
      <c r="J5" s="1291">
        <f ca="1">J6+J10+J12</f>
        <v>0</v>
      </c>
      <c r="K5" s="1822" t="s">
        <v>1603</v>
      </c>
      <c r="L5" s="1292"/>
      <c r="M5" s="1293"/>
    </row>
    <row r="6" spans="1:37" ht="18" customHeight="1">
      <c r="A6" s="1290" t="s">
        <v>1035</v>
      </c>
      <c r="B6" s="3890" t="s">
        <v>1404</v>
      </c>
      <c r="C6" s="1295">
        <f ca="1">ROUND(F6*F8*F7*(1-F9),0)</f>
        <v>0</v>
      </c>
      <c r="D6" s="164" t="s">
        <v>3029</v>
      </c>
      <c r="E6" s="347" t="s">
        <v>1406</v>
      </c>
      <c r="F6" s="348">
        <f ca="1">INDIRECT("'数据-取费表'!u"&amp;$G$1)</f>
        <v>0</v>
      </c>
      <c r="G6" s="1851"/>
      <c r="H6" s="1290" t="s">
        <v>1035</v>
      </c>
      <c r="I6" s="3890" t="s">
        <v>1404</v>
      </c>
      <c r="J6" s="346">
        <f ca="1">ROUND(M6*M8*M7*(1-M9),0)</f>
        <v>0</v>
      </c>
      <c r="K6" s="1834" t="s">
        <v>3032</v>
      </c>
      <c r="L6" s="347" t="s">
        <v>1406</v>
      </c>
      <c r="M6" s="348">
        <f ca="1">INDIRECT("'数据-取费表'!z"&amp;$G$1)</f>
        <v>0</v>
      </c>
    </row>
    <row r="7" spans="1:37" ht="18" customHeight="1">
      <c r="A7" s="1294"/>
      <c r="B7" s="3891"/>
      <c r="C7" s="1296"/>
      <c r="D7" s="352"/>
      <c r="E7" s="1297"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3030</v>
      </c>
      <c r="E10" s="358" t="s">
        <v>1412</v>
      </c>
      <c r="F10" s="1365"/>
      <c r="G10" s="1851"/>
      <c r="H10" s="1290" t="s">
        <v>1039</v>
      </c>
      <c r="I10" s="1823" t="s">
        <v>1410</v>
      </c>
      <c r="J10" s="346">
        <f ca="1">ROUND(IF(M10="押一",M6*M8*M7/12*M11,IF(M10="押二",M6*M8*M7/12*2*M11,IF(M10="押三",M6*M8*M7/12*3*M11,J11*M11))),0)</f>
        <v>0</v>
      </c>
      <c r="K10" s="1835" t="s">
        <v>3031</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ROUND(F17*(F43+INDIRECT("'数据-取费表'!S"&amp;$G$1)),0)</f>
        <v>0</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IF(K19="按租金收入计税",ROUND(J5*M19,0),ROUND(C29*M19*0.7,0))</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ROUND(M20*M21,0)</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0</v>
      </c>
      <c r="K22" s="179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ROUND(J13*M23,0)</f>
        <v>0</v>
      </c>
      <c r="K23" s="179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ROUND(IF(项目基本情况!B11="自然人",C5*F31,C32+C33+C34),0)</f>
        <v>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IF(项目基本情况!B11="自然人","——",ROUND(C5*F32/(1+'数据-取费表'!C42),0))</f>
        <v>0</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ROUND(C29*F36,0)</f>
        <v>0</v>
      </c>
      <c r="D36" s="179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ROUND(C13*F37,0)</f>
        <v>0</v>
      </c>
      <c r="D37" s="179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1817">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ROUND(F49*F51*F50*(1-F52),0)</f>
        <v>0</v>
      </c>
      <c r="D49" s="1275" t="s">
        <v>1405</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198"/>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IF(项目基本情况!B11="自然人","——",ROUND(C48*F60/(1+'数据-取费表'!C42),0))</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IF(项目基本情况!B11="自然人","——",IF(D61="按租金收入计税",ROUND(C48*F61,0),IF(D61="按房产原值计税",ROUND(C57*F61*0.7,0),INDIRECT("'数据-取费表'!Aj"&amp;$G$1))))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IF(项目基本情况!B11="自然人","——",ROUND(F62*F63,0))</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ROUND(C48*F66,0)</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f ca="1">F42</f>
        <v>0</v>
      </c>
      <c r="O70" s="1894" t="s">
        <v>1049</v>
      </c>
      <c r="P70" s="1934" t="s">
        <v>1587</v>
      </c>
      <c r="Q70" s="1886">
        <f ca="1">C13</f>
        <v>0</v>
      </c>
      <c r="R70" s="1886" t="s">
        <v>1531</v>
      </c>
    </row>
    <row r="71" spans="1:18" s="1842" customFormat="1" ht="13.5" thickBot="1">
      <c r="A71" s="1189" t="s">
        <v>1033</v>
      </c>
      <c r="B71" s="1190" t="s">
        <v>1489</v>
      </c>
      <c r="C71" s="382" t="e">
        <f ca="1">ROUND(C68/F71,0)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2331</v>
      </c>
      <c r="B2" s="2564">
        <f ca="1">SUMIF(B6:B13,"&lt;&gt;#ref!",B6:B13)</f>
        <v>291944</v>
      </c>
      <c r="C2" s="2565" t="s">
        <v>2520</v>
      </c>
      <c r="D2" s="2566" t="s">
        <v>2521</v>
      </c>
      <c r="E2" s="2567">
        <f>SUM(E6:E13)</f>
        <v>75340.800000000003</v>
      </c>
    </row>
    <row r="3" spans="1:6" ht="15.75">
      <c r="A3" s="2563" t="s">
        <v>1396</v>
      </c>
      <c r="B3" s="2564">
        <f ca="1">ROUND(B2*10000/E2,0)</f>
        <v>38750</v>
      </c>
      <c r="C3" s="2565" t="s">
        <v>2528</v>
      </c>
      <c r="D3" s="2568"/>
      <c r="E3" s="2569"/>
    </row>
    <row r="4" spans="1:6" ht="15.75">
      <c r="A4" s="2570"/>
      <c r="B4" s="2568"/>
      <c r="C4" s="2568"/>
      <c r="D4" s="2568"/>
      <c r="E4" s="2569"/>
    </row>
    <row r="5" spans="1:6" ht="15">
      <c r="A5" s="2571" t="s">
        <v>2522</v>
      </c>
      <c r="B5" s="3936" t="s">
        <v>2523</v>
      </c>
      <c r="C5" s="3936"/>
      <c r="D5" s="2572"/>
      <c r="E5" s="2573" t="s">
        <v>2524</v>
      </c>
      <c r="F5" s="2574" t="s">
        <v>2525</v>
      </c>
    </row>
    <row r="6" spans="1:6">
      <c r="A6" s="2575" t="str">
        <f>'数据-取费表'!AN6</f>
        <v>收益法办公</v>
      </c>
      <c r="B6" s="2574">
        <f ca="1">IF(F6="是",'数据-取费表'!AO6,0)</f>
        <v>257385</v>
      </c>
      <c r="C6" s="2565" t="s">
        <v>2520</v>
      </c>
      <c r="D6" s="2568"/>
      <c r="E6" s="2576">
        <f>IF(OR(A6=0,F6="否"),0,'数据-取费表'!K6+'数据-取费表'!S6)</f>
        <v>66999.83</v>
      </c>
      <c r="F6" s="2577" t="s">
        <v>2526</v>
      </c>
    </row>
    <row r="7" spans="1:6">
      <c r="A7" s="2575" t="str">
        <f>'数据-取费表'!AN7</f>
        <v>收益法商业</v>
      </c>
      <c r="B7" s="2574">
        <f ca="1">IF(F7="是",'数据-取费表'!AO7,0)</f>
        <v>33351</v>
      </c>
      <c r="C7" s="2565" t="s">
        <v>2520</v>
      </c>
      <c r="D7" s="2568"/>
      <c r="E7" s="2576">
        <f>IF(OR(A7=0,F7="否"),0,'数据-取费表'!K7+'数据-取费表'!S7)</f>
        <v>5671.16</v>
      </c>
      <c r="F7" s="2577" t="s">
        <v>2526</v>
      </c>
    </row>
    <row r="8" spans="1:6">
      <c r="A8" s="2575" t="str">
        <f>'数据-取费表'!AN8</f>
        <v>收益法仓储</v>
      </c>
      <c r="B8" s="2574">
        <f ca="1">IF(F8="是",'数据-取费表'!AO8,0)</f>
        <v>1208</v>
      </c>
      <c r="C8" s="2565" t="s">
        <v>2520</v>
      </c>
      <c r="D8" s="2568"/>
      <c r="E8" s="2576">
        <f>IF(OR(A8=0,F8="否"),0,'数据-取费表'!K8+'数据-取费表'!S8)</f>
        <v>2669.8099999999995</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估价对象为出让国有建设用地使用权及在建建筑物房地产，为所有。根据《国有土地使用证》[]，估价对象（分摊）出让国有建设用地使用权面积为15080.97平方米，建筑面积为79847.06平方米。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2018年1月10日（评估专业人员实地查勘之日）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953" t="s">
        <v>1076</v>
      </c>
      <c r="B1" s="3954"/>
      <c r="C1" s="3955"/>
      <c r="D1" s="3956">
        <f>SUM(I10,I15,I20,I21,I23)</f>
        <v>0</v>
      </c>
      <c r="E1" s="3956"/>
      <c r="F1" s="3956"/>
      <c r="G1" s="3956"/>
      <c r="H1" s="3956"/>
      <c r="I1" s="3957"/>
    </row>
    <row r="2" spans="1:9">
      <c r="A2" s="3943" t="s">
        <v>1077</v>
      </c>
      <c r="B2" s="3944" t="s">
        <v>1078</v>
      </c>
      <c r="C2" s="3944"/>
      <c r="D2" s="1300" t="s">
        <v>1079</v>
      </c>
      <c r="E2" s="1300" t="s">
        <v>1080</v>
      </c>
      <c r="F2" s="1300" t="s">
        <v>1081</v>
      </c>
      <c r="G2" s="1300" t="s">
        <v>1082</v>
      </c>
      <c r="H2" s="1300" t="s">
        <v>1083</v>
      </c>
      <c r="I2" s="1301" t="s">
        <v>1084</v>
      </c>
    </row>
    <row r="3" spans="1:9">
      <c r="A3" s="3943"/>
      <c r="B3" s="3944" t="s">
        <v>1085</v>
      </c>
      <c r="C3" s="3944"/>
      <c r="D3" s="1302"/>
      <c r="E3" s="1300"/>
      <c r="F3" s="1303"/>
      <c r="G3" s="1303"/>
      <c r="H3" s="1304"/>
      <c r="I3" s="1305">
        <f>ROUND(D3*E3*F3*G3*H3/10000,0)</f>
        <v>0</v>
      </c>
    </row>
    <row r="4" spans="1:9">
      <c r="A4" s="3943"/>
      <c r="B4" s="3944" t="s">
        <v>1086</v>
      </c>
      <c r="C4" s="3944"/>
      <c r="D4" s="1302"/>
      <c r="E4" s="1300"/>
      <c r="F4" s="1303"/>
      <c r="G4" s="1303"/>
      <c r="H4" s="1304"/>
      <c r="I4" s="1305">
        <f t="shared" ref="I4:I9" si="0">ROUND(D4*E4*F4*G4*H4/10000,0)</f>
        <v>0</v>
      </c>
    </row>
    <row r="5" spans="1:9">
      <c r="A5" s="3943"/>
      <c r="B5" s="3944" t="s">
        <v>1087</v>
      </c>
      <c r="C5" s="3944"/>
      <c r="D5" s="1302"/>
      <c r="E5" s="1300"/>
      <c r="F5" s="1303"/>
      <c r="G5" s="1303"/>
      <c r="H5" s="1304"/>
      <c r="I5" s="1305">
        <f t="shared" si="0"/>
        <v>0</v>
      </c>
    </row>
    <row r="6" spans="1:9">
      <c r="A6" s="3943"/>
      <c r="B6" s="3944" t="s">
        <v>1088</v>
      </c>
      <c r="C6" s="3944"/>
      <c r="D6" s="1302"/>
      <c r="E6" s="1300"/>
      <c r="F6" s="1303"/>
      <c r="G6" s="1303"/>
      <c r="H6" s="1304"/>
      <c r="I6" s="1305">
        <f t="shared" si="0"/>
        <v>0</v>
      </c>
    </row>
    <row r="7" spans="1:9">
      <c r="A7" s="3943"/>
      <c r="B7" s="3944" t="s">
        <v>1089</v>
      </c>
      <c r="C7" s="3944"/>
      <c r="D7" s="1302"/>
      <c r="E7" s="1300"/>
      <c r="F7" s="1303"/>
      <c r="G7" s="1303"/>
      <c r="H7" s="1304"/>
      <c r="I7" s="1305">
        <f t="shared" si="0"/>
        <v>0</v>
      </c>
    </row>
    <row r="8" spans="1:9">
      <c r="A8" s="3943"/>
      <c r="B8" s="3944" t="s">
        <v>1090</v>
      </c>
      <c r="C8" s="3944"/>
      <c r="D8" s="1302"/>
      <c r="E8" s="1300"/>
      <c r="F8" s="1303"/>
      <c r="G8" s="1303"/>
      <c r="H8" s="1304"/>
      <c r="I8" s="1305">
        <f t="shared" si="0"/>
        <v>0</v>
      </c>
    </row>
    <row r="9" spans="1:9">
      <c r="A9" s="3943"/>
      <c r="B9" s="3944" t="s">
        <v>1091</v>
      </c>
      <c r="C9" s="3944"/>
      <c r="D9" s="1302"/>
      <c r="E9" s="1300"/>
      <c r="F9" s="1303"/>
      <c r="G9" s="1303"/>
      <c r="H9" s="1304"/>
      <c r="I9" s="1305">
        <f t="shared" si="0"/>
        <v>0</v>
      </c>
    </row>
    <row r="10" spans="1:9">
      <c r="A10" s="3943"/>
      <c r="B10" s="3945" t="s">
        <v>1092</v>
      </c>
      <c r="C10" s="3945"/>
      <c r="D10" s="1306"/>
      <c r="E10" s="1306" t="e">
        <f>ROUND(D1*10000/D10/H9,0)</f>
        <v>#DIV/0!</v>
      </c>
      <c r="F10" s="1307"/>
      <c r="G10" s="1307"/>
      <c r="H10" s="1308"/>
      <c r="I10" s="1309">
        <f>SUM(I3:I9)</f>
        <v>0</v>
      </c>
    </row>
    <row r="11" spans="1:9" ht="14.25">
      <c r="A11" s="3943" t="s">
        <v>1093</v>
      </c>
      <c r="B11" s="3944" t="s">
        <v>1094</v>
      </c>
      <c r="C11" s="3944"/>
      <c r="D11" s="1302" t="s">
        <v>1095</v>
      </c>
      <c r="E11" s="1302" t="s">
        <v>1096</v>
      </c>
      <c r="F11" s="1303" t="s">
        <v>1097</v>
      </c>
      <c r="G11" s="1303" t="s">
        <v>1083</v>
      </c>
      <c r="H11" s="1310" t="s">
        <v>1098</v>
      </c>
      <c r="I11" s="1301" t="s">
        <v>1084</v>
      </c>
    </row>
    <row r="12" spans="1:9">
      <c r="A12" s="3943"/>
      <c r="B12" s="3944" t="s">
        <v>1099</v>
      </c>
      <c r="C12" s="3944"/>
      <c r="D12" s="1302"/>
      <c r="E12" s="1302"/>
      <c r="F12" s="1303"/>
      <c r="G12" s="1304"/>
      <c r="H12" s="1311"/>
      <c r="I12" s="1301">
        <f>ROUND(D12*E12*F12*G12/10000,0)</f>
        <v>0</v>
      </c>
    </row>
    <row r="13" spans="1:9">
      <c r="A13" s="3943"/>
      <c r="B13" s="3944" t="s">
        <v>1100</v>
      </c>
      <c r="C13" s="3944"/>
      <c r="D13" s="1302"/>
      <c r="E13" s="1302"/>
      <c r="F13" s="1303"/>
      <c r="G13" s="1304"/>
      <c r="H13" s="1311"/>
      <c r="I13" s="1301">
        <f>ROUND(D13*E13*F13*G13/10000,0)</f>
        <v>0</v>
      </c>
    </row>
    <row r="14" spans="1:9">
      <c r="A14" s="3943"/>
      <c r="B14" s="3944" t="s">
        <v>1101</v>
      </c>
      <c r="C14" s="3944"/>
      <c r="D14" s="1302"/>
      <c r="E14" s="1302"/>
      <c r="F14" s="1303"/>
      <c r="G14" s="1304"/>
      <c r="H14" s="1311"/>
      <c r="I14" s="1301">
        <f>ROUND(D14*E14*F14*G14/10000,0)</f>
        <v>0</v>
      </c>
    </row>
    <row r="15" spans="1:9">
      <c r="A15" s="3943"/>
      <c r="B15" s="3945" t="s">
        <v>1092</v>
      </c>
      <c r="C15" s="3945"/>
      <c r="D15" s="1306"/>
      <c r="E15" s="1306">
        <f>SUM(E12:E14)</f>
        <v>0</v>
      </c>
      <c r="F15" s="1307"/>
      <c r="G15" s="1304"/>
      <c r="H15" s="1311"/>
      <c r="I15" s="1312">
        <f>SUM(I12:I14)</f>
        <v>0</v>
      </c>
    </row>
    <row r="16" spans="1:9" ht="24">
      <c r="A16" s="3943" t="s">
        <v>1102</v>
      </c>
      <c r="B16" s="3944" t="s">
        <v>1103</v>
      </c>
      <c r="C16" s="3944"/>
      <c r="D16" s="1302" t="s">
        <v>1079</v>
      </c>
      <c r="E16" s="1313" t="s">
        <v>1104</v>
      </c>
      <c r="F16" s="1303" t="s">
        <v>1105</v>
      </c>
      <c r="G16" s="1304" t="s">
        <v>1083</v>
      </c>
      <c r="H16" s="1310" t="s">
        <v>1098</v>
      </c>
      <c r="I16" s="1301" t="s">
        <v>1084</v>
      </c>
    </row>
    <row r="17" spans="1:9" ht="14.25">
      <c r="A17" s="3943"/>
      <c r="B17" s="3944" t="s">
        <v>1106</v>
      </c>
      <c r="C17" s="3944"/>
      <c r="D17" s="1302"/>
      <c r="E17" s="1302"/>
      <c r="F17" s="1303"/>
      <c r="G17" s="1304"/>
      <c r="H17" s="1314"/>
      <c r="I17" s="1315">
        <f>ROUND(D17*E17*F17*G17/10000,0)</f>
        <v>0</v>
      </c>
    </row>
    <row r="18" spans="1:9" ht="14.25">
      <c r="A18" s="3943"/>
      <c r="B18" s="3944" t="s">
        <v>1107</v>
      </c>
      <c r="C18" s="3944"/>
      <c r="D18" s="1302"/>
      <c r="E18" s="1302"/>
      <c r="F18" s="1303"/>
      <c r="G18" s="1304"/>
      <c r="H18" s="1314"/>
      <c r="I18" s="1315">
        <f>ROUND(D18*E18*F18*G18/10000,0)</f>
        <v>0</v>
      </c>
    </row>
    <row r="19" spans="1:9" ht="14.25">
      <c r="A19" s="3943"/>
      <c r="B19" s="3944" t="s">
        <v>1108</v>
      </c>
      <c r="C19" s="3944"/>
      <c r="D19" s="1302"/>
      <c r="E19" s="1302"/>
      <c r="F19" s="1303"/>
      <c r="G19" s="1304"/>
      <c r="H19" s="1314"/>
      <c r="I19" s="1315">
        <f>ROUND(D19*E19*F19*G19/10000,0)</f>
        <v>0</v>
      </c>
    </row>
    <row r="20" spans="1:9">
      <c r="A20" s="3943"/>
      <c r="B20" s="3945" t="s">
        <v>1092</v>
      </c>
      <c r="C20" s="3945"/>
      <c r="D20" s="1306">
        <f>SUM(D17:D19)</f>
        <v>0</v>
      </c>
      <c r="E20" s="1306"/>
      <c r="F20" s="1307"/>
      <c r="G20" s="1304"/>
      <c r="H20" s="1311"/>
      <c r="I20" s="1312">
        <f>SUM(I17:I19)</f>
        <v>0</v>
      </c>
    </row>
    <row r="21" spans="1:9">
      <c r="A21" s="3943" t="s">
        <v>1109</v>
      </c>
      <c r="B21" s="3946"/>
      <c r="C21" s="3946"/>
      <c r="D21" s="3946"/>
      <c r="E21" s="3946"/>
      <c r="F21" s="3946"/>
      <c r="G21" s="3946"/>
      <c r="H21" s="1765">
        <v>0.1</v>
      </c>
      <c r="I21" s="1309">
        <f>ROUND(I10*H21,0)</f>
        <v>0</v>
      </c>
    </row>
    <row r="22" spans="1:9" ht="14.25">
      <c r="A22" s="3947" t="s">
        <v>1110</v>
      </c>
      <c r="B22" s="3948"/>
      <c r="C22" s="3949"/>
      <c r="D22" s="1316" t="s">
        <v>1111</v>
      </c>
      <c r="E22" s="1316" t="s">
        <v>1112</v>
      </c>
      <c r="F22" s="1317" t="s">
        <v>1113</v>
      </c>
      <c r="G22" s="1317" t="s">
        <v>1114</v>
      </c>
      <c r="H22" s="1310" t="s">
        <v>1115</v>
      </c>
      <c r="I22" s="1301" t="s">
        <v>1116</v>
      </c>
    </row>
    <row r="23" spans="1:9" ht="14.25" thickBot="1">
      <c r="A23" s="3950"/>
      <c r="B23" s="3951"/>
      <c r="C23" s="3952"/>
      <c r="D23" s="1318"/>
      <c r="E23" s="1318"/>
      <c r="F23" s="1318"/>
      <c r="G23" s="1319"/>
      <c r="H23" s="1320"/>
      <c r="I23" s="1321">
        <f>ROUND(E23*D23*F23*(1-G23)/10000,0)</f>
        <v>0</v>
      </c>
    </row>
    <row r="26" spans="1:9">
      <c r="A26" s="1322" t="s">
        <v>1117</v>
      </c>
      <c r="B26" s="1322"/>
      <c r="C26" s="1322"/>
      <c r="D26" s="1322"/>
      <c r="E26" s="3940">
        <f>C27-C30-C31-C32</f>
        <v>0</v>
      </c>
      <c r="F26" s="3940"/>
      <c r="G26" s="3940"/>
      <c r="H26" s="1737" t="s">
        <v>1341</v>
      </c>
    </row>
    <row r="27" spans="1:9">
      <c r="A27" s="1323">
        <v>1</v>
      </c>
      <c r="B27" s="1324" t="s">
        <v>1118</v>
      </c>
      <c r="C27" s="1324">
        <f>C28+C29</f>
        <v>0</v>
      </c>
      <c r="D27" s="1324"/>
      <c r="E27" s="3941"/>
      <c r="F27" s="3941"/>
      <c r="G27" s="3941"/>
    </row>
    <row r="28" spans="1:9">
      <c r="A28" s="1325" t="s">
        <v>1119</v>
      </c>
      <c r="B28" s="1324" t="s">
        <v>1120</v>
      </c>
      <c r="C28" s="1324"/>
      <c r="D28" s="1324"/>
      <c r="E28" s="3941"/>
      <c r="F28" s="3941"/>
      <c r="G28" s="3941"/>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942"/>
      <c r="F32" s="3942"/>
      <c r="G32" s="3942"/>
    </row>
    <row r="33" spans="1:7" hidden="1">
      <c r="A33" s="3937" t="s">
        <v>1129</v>
      </c>
      <c r="B33" s="3938"/>
      <c r="C33" s="3938"/>
      <c r="D33" s="3939"/>
      <c r="E33" s="3940"/>
      <c r="F33" s="3940"/>
      <c r="G33" s="3940"/>
    </row>
    <row r="34" spans="1:7" hidden="1">
      <c r="A34" s="1327">
        <v>1</v>
      </c>
      <c r="B34" s="1324" t="s">
        <v>1130</v>
      </c>
      <c r="C34" s="1324"/>
      <c r="D34" s="1324"/>
      <c r="E34" s="3941"/>
      <c r="F34" s="3941"/>
      <c r="G34" s="3941"/>
    </row>
    <row r="35" spans="1:7" hidden="1">
      <c r="A35" s="1327">
        <v>2</v>
      </c>
      <c r="B35" s="1324" t="s">
        <v>1131</v>
      </c>
      <c r="C35" s="1324"/>
      <c r="D35" s="1324"/>
      <c r="E35" s="3941"/>
      <c r="F35" s="3941"/>
      <c r="G35" s="3941"/>
    </row>
    <row r="36" spans="1:7" hidden="1">
      <c r="A36" s="1327">
        <v>3</v>
      </c>
      <c r="B36" s="1324" t="s">
        <v>1132</v>
      </c>
      <c r="C36" s="1324"/>
      <c r="D36" s="1324"/>
      <c r="E36" s="3941"/>
      <c r="F36" s="3941"/>
      <c r="G36" s="3941"/>
    </row>
    <row r="37" spans="1:7" hidden="1">
      <c r="A37" s="1327">
        <v>4</v>
      </c>
      <c r="B37" s="1324" t="s">
        <v>1133</v>
      </c>
      <c r="C37" s="1324"/>
      <c r="D37" s="1324"/>
      <c r="E37" s="3941"/>
      <c r="F37" s="3941"/>
      <c r="G37" s="3941"/>
    </row>
    <row r="38" spans="1:7" hidden="1">
      <c r="A38" s="3937" t="s">
        <v>1134</v>
      </c>
      <c r="B38" s="3938"/>
      <c r="C38" s="3938"/>
      <c r="D38" s="3939"/>
      <c r="E38" s="3940"/>
      <c r="F38" s="3940"/>
      <c r="G38" s="39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23" sqref="C2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27</v>
      </c>
      <c r="D1" s="1820" t="s">
        <v>70</v>
      </c>
      <c r="E1" s="1821" t="s">
        <v>1388</v>
      </c>
      <c r="F1" s="1282">
        <f ca="1">J53</f>
        <v>41.47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257385</v>
      </c>
      <c r="C2" s="1845" t="s">
        <v>1518</v>
      </c>
      <c r="D2" s="1845"/>
      <c r="E2" s="1846"/>
      <c r="F2" s="1847"/>
      <c r="G2" s="1848"/>
      <c r="H2" s="1840"/>
      <c r="I2" s="1840"/>
      <c r="J2" s="1840"/>
      <c r="K2" s="1841"/>
      <c r="L2" s="1840"/>
      <c r="M2" s="1840"/>
    </row>
    <row r="3" spans="1:37" ht="18" customHeight="1" thickBot="1">
      <c r="A3" s="1849" t="s">
        <v>1519</v>
      </c>
      <c r="B3" s="1850">
        <f ca="1">IF(ISERROR(B2*10000/F43),0,ROUND(B2*10000/F43,0))</f>
        <v>43747</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12491</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12473</v>
      </c>
      <c r="D6" s="164" t="s">
        <v>3034</v>
      </c>
      <c r="E6" s="347" t="s">
        <v>1406</v>
      </c>
      <c r="F6" s="348">
        <f ca="1">INDIRECT("'数据-取费表'!u"&amp;$G$1)</f>
        <v>6.6</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51" t="s">
        <v>1407</v>
      </c>
      <c r="F7" s="348">
        <f ca="1">IF(INDIRECT("'数据-取费表'!ah"&amp;$G$1)="",INDIRECT("'数据-取费表'!k"&amp;$G$1),INDIRECT("'数据-取费表'!ah"&amp;$G$1))</f>
        <v>58835.540000000008</v>
      </c>
      <c r="G7" s="1851"/>
      <c r="H7" s="349"/>
      <c r="I7" s="3891"/>
      <c r="J7" s="351"/>
      <c r="K7" s="352"/>
      <c r="L7" s="347" t="s">
        <v>1407</v>
      </c>
      <c r="M7" s="348">
        <f ca="1">F7</f>
        <v>58835.540000000008</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0.12</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18</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45171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28109</v>
      </c>
      <c r="D14" s="2954" t="s">
        <v>1420</v>
      </c>
      <c r="E14" s="2953"/>
      <c r="F14" s="364"/>
      <c r="G14" s="1851"/>
      <c r="H14" s="1200" t="s">
        <v>1035</v>
      </c>
      <c r="I14" s="347" t="s">
        <v>1421</v>
      </c>
      <c r="J14" s="24">
        <f ca="1">C29</f>
        <v>45171</v>
      </c>
      <c r="K14" s="2950"/>
      <c r="L14" s="978"/>
      <c r="M14" s="979"/>
    </row>
    <row r="15" spans="1:37" s="1858" customFormat="1" ht="18" customHeight="1" thickBot="1">
      <c r="A15" s="1200" t="s">
        <v>1036</v>
      </c>
      <c r="B15" s="347" t="s">
        <v>1422</v>
      </c>
      <c r="C15" s="24">
        <f ca="1">ROUND(C14*F15,0)</f>
        <v>843</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1285</v>
      </c>
      <c r="K16" s="1336" t="s">
        <v>1427</v>
      </c>
      <c r="L16" s="2956"/>
      <c r="M16" s="1293"/>
    </row>
    <row r="17" spans="1:37" s="1858" customFormat="1" ht="18" customHeight="1">
      <c r="A17" s="1200" t="s">
        <v>1391</v>
      </c>
      <c r="B17" s="347" t="s">
        <v>1428</v>
      </c>
      <c r="C17" s="24">
        <f ca="1">ROUND(F17*(F43+INDIRECT("'数据-取费表'!S"&amp;$G$1))/10000,0)</f>
        <v>1340</v>
      </c>
      <c r="D17" s="347" t="s">
        <v>1429</v>
      </c>
      <c r="E17" s="347" t="s">
        <v>1430</v>
      </c>
      <c r="F17" s="26">
        <f>'数据-取费表'!B35</f>
        <v>200</v>
      </c>
      <c r="G17" s="1854"/>
      <c r="H17" s="1200" t="s">
        <v>1035</v>
      </c>
      <c r="I17" s="347" t="s">
        <v>1431</v>
      </c>
      <c r="J17" s="24">
        <f ca="1">ROUND(IF(项目基本情况!B11="自然人",J5*M17,J18+J19+J20),1)</f>
        <v>381.3</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422</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30714</v>
      </c>
      <c r="D19" s="140" t="s">
        <v>1438</v>
      </c>
      <c r="E19" s="2949"/>
      <c r="F19" s="26"/>
      <c r="G19" s="1851"/>
      <c r="H19" s="1200" t="s">
        <v>1036</v>
      </c>
      <c r="I19" s="347" t="s">
        <v>1439</v>
      </c>
      <c r="J19" s="24">
        <f ca="1">IF(K19="按租金收入计税",ROUND(J5*M19,2),ROUND(C29*M19*0.7,2))</f>
        <v>379.44</v>
      </c>
      <c r="K19" s="1828" t="s">
        <v>1440</v>
      </c>
      <c r="L19" s="347" t="s">
        <v>1424</v>
      </c>
      <c r="M19" s="367">
        <f>IF(K19="按租金收入计税",'数据-取费表'!B51,'数据-取费表'!B50)</f>
        <v>1.2E-2</v>
      </c>
    </row>
    <row r="20" spans="1:37" s="1858" customFormat="1" ht="18" customHeight="1">
      <c r="A20" s="1200" t="s">
        <v>1039</v>
      </c>
      <c r="B20" s="347" t="s">
        <v>1441</v>
      </c>
      <c r="C20" s="24">
        <f ca="1">ROUND(C19*F20,0)</f>
        <v>921</v>
      </c>
      <c r="D20" s="369" t="s">
        <v>1442</v>
      </c>
      <c r="E20" s="347" t="s">
        <v>1424</v>
      </c>
      <c r="F20" s="367">
        <f>'数据-取费表'!B37</f>
        <v>0.03</v>
      </c>
      <c r="G20" s="1854"/>
      <c r="H20" s="1200" t="s">
        <v>1390</v>
      </c>
      <c r="I20" s="164" t="s">
        <v>1443</v>
      </c>
      <c r="J20" s="25">
        <f ca="1">ROUND(M20*M21/10000,2)</f>
        <v>1.9</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12654.48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903.4</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1503</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-1285</v>
      </c>
      <c r="K25" s="1344" t="s">
        <v>1466</v>
      </c>
      <c r="L25" s="1345"/>
      <c r="M25" s="1346"/>
    </row>
    <row r="26" spans="1:37">
      <c r="A26" s="1200" t="s">
        <v>1034</v>
      </c>
      <c r="B26" s="347" t="s">
        <v>1467</v>
      </c>
      <c r="C26" s="24">
        <f ca="1">ROUND((C19+C20)*F26,0)</f>
        <v>7909</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5.5E-2</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45171</v>
      </c>
      <c r="D29" s="1341"/>
      <c r="E29" s="1339"/>
      <c r="F29" s="1342"/>
      <c r="G29" s="1854"/>
      <c r="H29" s="380" t="s">
        <v>1033</v>
      </c>
      <c r="I29" s="381" t="s">
        <v>1481</v>
      </c>
      <c r="J29" s="382">
        <f ca="1">ROUND(J26/(1+F40)^F41,0)</f>
        <v>0</v>
      </c>
      <c r="K29" s="383" t="s">
        <v>1482</v>
      </c>
      <c r="L29" s="384"/>
      <c r="M29" s="385">
        <f ca="1">INDIRECT("'数据-取费表'!k"&amp;$G$1)</f>
        <v>58835.540000000008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2279</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1035.5999999999999</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654.29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379.44</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1.9</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12654.48</v>
      </c>
      <c r="G35" s="1851"/>
      <c r="H35" s="745"/>
      <c r="I35" s="1860"/>
      <c r="J35" s="1861"/>
      <c r="K35" s="1862"/>
      <c r="L35" s="1859"/>
      <c r="M35" s="1859"/>
    </row>
    <row r="36" spans="1:18" ht="18" customHeight="1">
      <c r="A36" s="1351" t="s">
        <v>1039</v>
      </c>
      <c r="B36" s="347" t="s">
        <v>1451</v>
      </c>
      <c r="C36" s="24">
        <f ca="1">ROUND(C29*F36,1)</f>
        <v>903.4</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90.3</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249.8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10212</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257385</v>
      </c>
      <c r="D40" s="370" t="s">
        <v>1471</v>
      </c>
      <c r="E40" s="347" t="s">
        <v>1472</v>
      </c>
      <c r="F40" s="357">
        <f ca="1">INDIRECT("'数据-取费表'!I"&amp;$G$1)</f>
        <v>5.5E-2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0.03</v>
      </c>
      <c r="G42" s="1851"/>
      <c r="H42" s="732"/>
      <c r="I42" s="1860"/>
      <c r="J42" s="1861"/>
      <c r="K42" s="751"/>
      <c r="L42" s="732"/>
      <c r="M42" s="732"/>
    </row>
    <row r="43" spans="1:18" ht="18" customHeight="1" thickBot="1">
      <c r="A43" s="380" t="s">
        <v>1033</v>
      </c>
      <c r="B43" s="381" t="s">
        <v>1489</v>
      </c>
      <c r="C43" s="382">
        <f ca="1">ROUND(C40*10000/F43,0)</f>
        <v>43747</v>
      </c>
      <c r="D43" s="383" t="s">
        <v>1490</v>
      </c>
      <c r="E43" s="384" t="s">
        <v>1491</v>
      </c>
      <c r="F43" s="385">
        <f ca="1">INDIRECT("'数据-取费表'!k"&amp;$G$1)</f>
        <v>58835.540000000008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-279671</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257385</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45171</v>
      </c>
      <c r="R49" s="1886" t="s">
        <v>1531</v>
      </c>
    </row>
    <row r="50" spans="1:18" s="1842" customFormat="1" ht="13.5" thickBot="1">
      <c r="A50" s="1194"/>
      <c r="B50" s="1197"/>
      <c r="C50" s="1367"/>
      <c r="D50" s="1171"/>
      <c r="E50" s="1276" t="s">
        <v>1407</v>
      </c>
      <c r="F50" s="1277">
        <f ca="1">F7</f>
        <v>58835.540000000008</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106679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41.47</v>
      </c>
      <c r="K53" s="3893" t="s">
        <v>1550</v>
      </c>
      <c r="L53" s="3894"/>
      <c r="O53" s="1884" t="s">
        <v>1046</v>
      </c>
      <c r="P53" s="1885" t="s">
        <v>1551</v>
      </c>
      <c r="Q53" s="1886">
        <f ca="1">Q47+Q48</f>
        <v>257385</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45171</v>
      </c>
      <c r="D56" s="1914"/>
      <c r="E56" s="1915"/>
      <c r="F56" s="1907"/>
      <c r="I56" s="1916" t="s">
        <v>1556</v>
      </c>
      <c r="J56" s="1917" t="s">
        <v>3042</v>
      </c>
      <c r="K56" s="1887" t="s">
        <v>1557</v>
      </c>
      <c r="L56" s="1890" t="str">
        <f ca="1">IF(L48&lt;J51,"——",L48-J53)</f>
        <v>——</v>
      </c>
      <c r="O56" s="1884" t="s">
        <v>1040</v>
      </c>
      <c r="P56" s="1885" t="s">
        <v>1530</v>
      </c>
      <c r="Q56" s="1886">
        <f ca="1">C40+J29</f>
        <v>257385</v>
      </c>
      <c r="R56" s="1886" t="s">
        <v>1531</v>
      </c>
    </row>
    <row r="57" spans="1:18" s="1842" customFormat="1" ht="24.75" thickBot="1">
      <c r="A57" s="1918"/>
      <c r="B57" s="1168" t="s">
        <v>1480</v>
      </c>
      <c r="C57" s="282">
        <f ca="1">C29</f>
        <v>45171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1375</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381.3</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379.44</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1.9</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257385</v>
      </c>
      <c r="R62" s="1886" t="s">
        <v>1047</v>
      </c>
    </row>
    <row r="63" spans="1:18" s="1842" customFormat="1" ht="13.5" thickBot="1">
      <c r="A63" s="372"/>
      <c r="B63" s="1174"/>
      <c r="C63" s="29"/>
      <c r="D63" s="1184"/>
      <c r="E63" s="1168" t="s">
        <v>1501</v>
      </c>
      <c r="F63" s="348">
        <f t="shared" ca="1" si="0"/>
        <v>12654.48</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903.4</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90.3</v>
      </c>
      <c r="D65" s="1182" t="s">
        <v>1456</v>
      </c>
      <c r="E65" s="1168" t="s">
        <v>1457</v>
      </c>
      <c r="F65" s="376">
        <f t="shared" ca="1" si="0"/>
        <v>2E-3</v>
      </c>
      <c r="I65" s="1929" t="s">
        <v>1581</v>
      </c>
      <c r="J65" s="1930">
        <v>40</v>
      </c>
      <c r="K65" s="1930">
        <v>30</v>
      </c>
      <c r="L65" s="1930">
        <v>50</v>
      </c>
      <c r="M65" s="1932">
        <v>0.02</v>
      </c>
      <c r="O65" s="1884" t="s">
        <v>1040</v>
      </c>
      <c r="P65" s="1885" t="s">
        <v>1530</v>
      </c>
      <c r="Q65" s="1886">
        <f ca="1">C40+J29</f>
        <v>257385</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-1375</v>
      </c>
      <c r="D67" s="1181" t="s">
        <v>1466</v>
      </c>
      <c r="E67" s="1186"/>
      <c r="F67" s="1187"/>
      <c r="O67" s="1894" t="s">
        <v>1042</v>
      </c>
      <c r="P67" s="1885" t="s">
        <v>1564</v>
      </c>
      <c r="Q67" s="1933">
        <f ca="1">L51</f>
        <v>106679</v>
      </c>
      <c r="R67" s="1886" t="s">
        <v>1584</v>
      </c>
    </row>
    <row r="68" spans="1:18" s="1842" customFormat="1" ht="16.5" thickBot="1">
      <c r="A68" s="1165" t="s">
        <v>1032</v>
      </c>
      <c r="B68" s="1166" t="s">
        <v>1487</v>
      </c>
      <c r="C68" s="346">
        <f ca="1">ROUND(C67*(1-((1+F70)/(1+F68))^F69)/(F68-F70),0)</f>
        <v>-22286</v>
      </c>
      <c r="D68" s="1183" t="s">
        <v>1471</v>
      </c>
      <c r="E68" s="1168" t="s">
        <v>1472</v>
      </c>
      <c r="F68" s="357">
        <f ca="1">F40</f>
        <v>5.5E-2</v>
      </c>
      <c r="O68" s="1894" t="s">
        <v>1043</v>
      </c>
      <c r="P68" s="1934" t="s">
        <v>1585</v>
      </c>
      <c r="Q68" s="1886">
        <f ca="1">ROUND(Q69-Q70*Q71,0)</f>
        <v>6147</v>
      </c>
      <c r="R68" s="1886" t="s">
        <v>1051</v>
      </c>
    </row>
    <row r="69" spans="1:18" s="1842" customFormat="1" ht="13.5" thickBot="1">
      <c r="A69" s="1169"/>
      <c r="B69" s="1170"/>
      <c r="C69" s="351"/>
      <c r="D69" s="1188" t="s">
        <v>1475</v>
      </c>
      <c r="E69" s="1168" t="s">
        <v>1476</v>
      </c>
      <c r="F69" s="379">
        <f ca="1">F41</f>
        <v>41.47</v>
      </c>
      <c r="O69" s="1894" t="s">
        <v>1048</v>
      </c>
      <c r="P69" s="1934" t="s">
        <v>1586</v>
      </c>
      <c r="Q69" s="1886">
        <f ca="1">C39</f>
        <v>10212</v>
      </c>
      <c r="R69" s="1886" t="s">
        <v>1531</v>
      </c>
    </row>
    <row r="70" spans="1:18" s="1842" customFormat="1" ht="13.5" thickBot="1">
      <c r="A70" s="1172"/>
      <c r="B70" s="1173"/>
      <c r="C70" s="355"/>
      <c r="D70" s="1184"/>
      <c r="E70" s="1168" t="s">
        <v>1479</v>
      </c>
      <c r="F70" s="1274"/>
      <c r="O70" s="1894" t="s">
        <v>1049</v>
      </c>
      <c r="P70" s="1934" t="s">
        <v>1587</v>
      </c>
      <c r="Q70" s="1886">
        <f ca="1">C13</f>
        <v>45171</v>
      </c>
      <c r="R70" s="1886" t="s">
        <v>1531</v>
      </c>
    </row>
    <row r="71" spans="1:18" s="1842" customFormat="1" ht="13.5" thickBot="1">
      <c r="A71" s="1189" t="s">
        <v>1033</v>
      </c>
      <c r="B71" s="1190" t="s">
        <v>1489</v>
      </c>
      <c r="C71" s="382">
        <f ca="1">ROUND(C68*10000/F71,0)</f>
        <v>-3788</v>
      </c>
      <c r="D71" s="1191" t="s">
        <v>1490</v>
      </c>
      <c r="E71" s="1192" t="s">
        <v>1491</v>
      </c>
      <c r="F71" s="385">
        <f ca="1">F43</f>
        <v>58835.540000000008</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4065</v>
      </c>
      <c r="D75" s="1842"/>
      <c r="E75" s="1842"/>
      <c r="F75" s="1842"/>
      <c r="K75" s="1868"/>
      <c r="L75" s="1842"/>
      <c r="O75" s="1884" t="s">
        <v>1046</v>
      </c>
      <c r="P75" s="1885" t="s">
        <v>1551</v>
      </c>
      <c r="Q75" s="1886">
        <f ca="1">Q65+Q66</f>
        <v>257385</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0.60199999999999998</v>
      </c>
    </row>
    <row r="80" spans="1:18">
      <c r="B80" s="386" t="s">
        <v>1513</v>
      </c>
      <c r="C80" s="318">
        <f ca="1">ROUND(C75/C39,3)</f>
        <v>0.39800000000000002</v>
      </c>
    </row>
    <row r="81" spans="2:3">
      <c r="B81" s="314" t="s">
        <v>1514</v>
      </c>
      <c r="C81" s="282"/>
    </row>
    <row r="82" spans="2:3">
      <c r="B82" s="317" t="s">
        <v>1515</v>
      </c>
      <c r="C82" s="319">
        <f ca="1">1-C83</f>
        <v>0.82499999999999996</v>
      </c>
    </row>
    <row r="83" spans="2:3">
      <c r="B83" s="317" t="s">
        <v>1516</v>
      </c>
      <c r="C83" s="318">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7" zoomScale="90" zoomScaleNormal="90" workbookViewId="0">
      <selection activeCell="G111" sqref="G111"/>
    </sheetView>
  </sheetViews>
  <sheetFormatPr defaultRowHeight="13.5"/>
  <cols>
    <col min="1" max="1" width="10.5" style="3326" customWidth="1"/>
    <col min="2" max="2" width="15.75" style="3326" customWidth="1"/>
    <col min="3" max="3" width="15.625" style="3326" customWidth="1"/>
    <col min="4" max="4" width="12.25" style="3326" customWidth="1"/>
    <col min="5" max="5" width="14.375" style="3326" customWidth="1"/>
    <col min="6" max="6" width="12.25" style="3326" customWidth="1"/>
    <col min="7" max="7" width="14.5" style="3326" customWidth="1"/>
    <col min="8" max="8" width="12.25" style="3326" customWidth="1"/>
    <col min="9" max="9" width="14.5" style="3326" customWidth="1"/>
    <col min="10" max="10" width="12.25" style="3326" customWidth="1"/>
    <col min="11" max="11" width="12.25" style="3577" customWidth="1"/>
    <col min="12" max="12" width="12.25" style="3578" customWidth="1"/>
    <col min="13" max="15" width="12.25" style="3326" customWidth="1"/>
    <col min="16" max="16" width="4.75" style="3587" customWidth="1"/>
    <col min="17" max="17" width="19.5" style="3326" customWidth="1"/>
    <col min="18" max="22" width="6.125" style="3326" customWidth="1"/>
    <col min="23" max="23" width="5.75" style="3326" customWidth="1"/>
    <col min="24" max="24" width="4.25" style="3326" customWidth="1"/>
    <col min="25" max="25" width="3.5" style="3326" customWidth="1"/>
    <col min="26" max="26" width="19.75" style="3326" customWidth="1"/>
    <col min="27" max="28" width="9.375" style="3326" customWidth="1"/>
    <col min="29" max="16384" width="9" style="3326"/>
  </cols>
  <sheetData>
    <row r="1" spans="1:29" s="3303" customFormat="1" ht="28.5" customHeight="1" thickBot="1">
      <c r="A1" s="3295" t="s">
        <v>3688</v>
      </c>
      <c r="B1" s="3639" t="s">
        <v>184</v>
      </c>
      <c r="C1" s="3638" t="s">
        <v>3925</v>
      </c>
      <c r="D1" s="3297" t="s">
        <v>3924</v>
      </c>
      <c r="E1" s="3300"/>
      <c r="F1" s="3298" t="s">
        <v>3923</v>
      </c>
      <c r="G1" s="3299" t="s">
        <v>3690</v>
      </c>
      <c r="H1" s="3300"/>
      <c r="I1" s="3300"/>
      <c r="J1" s="3300"/>
      <c r="K1" s="3301"/>
      <c r="L1" s="3302"/>
      <c r="M1" s="3296"/>
      <c r="N1" s="3296"/>
      <c r="O1" s="3296"/>
      <c r="P1" s="3638"/>
      <c r="Q1" s="3638"/>
      <c r="R1" s="3638"/>
      <c r="S1" s="3638"/>
      <c r="T1" s="3638"/>
      <c r="U1" s="3638"/>
      <c r="V1" s="3638"/>
      <c r="W1" s="3638"/>
      <c r="X1" s="3638"/>
      <c r="Y1" s="3638"/>
      <c r="Z1" s="3638"/>
      <c r="AA1" s="3638"/>
      <c r="AB1" s="3638"/>
      <c r="AC1" s="3637"/>
    </row>
    <row r="2" spans="1:29" s="3313" customFormat="1" ht="28.5" customHeight="1" thickTop="1">
      <c r="A2" s="3304" t="s">
        <v>3691</v>
      </c>
      <c r="B2" s="3305" t="e">
        <f>IF(C2="——",ROUND(C50*D3/10000,0),ROUND(C50*D3/10000,0)-D2)</f>
        <v>#VALUE!</v>
      </c>
      <c r="C2" s="3306" t="s">
        <v>70</v>
      </c>
      <c r="D2" s="3307" t="e">
        <f ca="1">SUMIF(INDIRECT("'"&amp;F2&amp;"'"&amp;"!A:A"),"承租人权益价值",INDIRECT("'"&amp;F2&amp;"'"&amp;"!c:c"))</f>
        <v>#REF!</v>
      </c>
      <c r="E2" s="3308" t="s">
        <v>3692</v>
      </c>
      <c r="F2" s="3309" t="s">
        <v>3693</v>
      </c>
      <c r="G2" s="3310"/>
      <c r="H2" s="3310"/>
      <c r="I2" s="3310"/>
      <c r="J2" s="3310"/>
      <c r="K2" s="3310"/>
      <c r="L2" s="3311"/>
      <c r="M2" s="3312"/>
      <c r="N2" s="3312"/>
      <c r="O2" s="3312"/>
      <c r="P2" s="3636"/>
      <c r="Q2" s="3636"/>
      <c r="R2" s="3636"/>
      <c r="S2" s="3636"/>
      <c r="T2" s="3636"/>
      <c r="U2" s="3636"/>
      <c r="V2" s="3636"/>
      <c r="W2" s="3636"/>
      <c r="X2" s="3636"/>
      <c r="Y2" s="3636"/>
      <c r="Z2" s="3636"/>
      <c r="AA2" s="3636"/>
      <c r="AB2" s="3636"/>
      <c r="AC2" s="3635"/>
    </row>
    <row r="3" spans="1:29" s="3313" customFormat="1" ht="28.5" customHeight="1" thickBot="1">
      <c r="A3" s="2980" t="s">
        <v>3694</v>
      </c>
      <c r="B3" s="3314">
        <f>IF(C2="——",C50,ROUND(B2*10000/D3,0))</f>
        <v>6.6</v>
      </c>
      <c r="C3" s="3315" t="s">
        <v>3695</v>
      </c>
      <c r="D3" s="3316" t="e">
        <f>IF(D1="",'[1]数据-汇总表'!E3,SUMIF('[1]数据-汇总表'!$C19:$C33,D1,'[1]数据-汇总表'!$E19:$E33))</f>
        <v>#VALUE!</v>
      </c>
      <c r="E3" s="3317"/>
      <c r="F3" s="3318"/>
      <c r="G3" s="3310"/>
      <c r="H3" s="3310"/>
      <c r="I3" s="3310"/>
      <c r="J3" s="3310"/>
      <c r="K3" s="3319"/>
      <c r="L3" s="3311"/>
      <c r="M3" s="3312"/>
      <c r="N3" s="3312"/>
      <c r="O3" s="3312"/>
      <c r="P3" s="3636"/>
      <c r="Q3" s="3636"/>
      <c r="R3" s="3636"/>
      <c r="S3" s="3636"/>
      <c r="T3" s="3636"/>
      <c r="U3" s="3636"/>
      <c r="V3" s="3636"/>
      <c r="W3" s="3636"/>
      <c r="X3" s="3636"/>
      <c r="Y3" s="3636"/>
      <c r="Z3" s="3636"/>
      <c r="AA3" s="3636"/>
      <c r="AB3" s="3636"/>
      <c r="AC3" s="3635"/>
    </row>
    <row r="4" spans="1:29">
      <c r="A4" s="3320" t="s">
        <v>3696</v>
      </c>
      <c r="B4" s="3321"/>
      <c r="C4" s="3973" t="s">
        <v>3697</v>
      </c>
      <c r="D4" s="3974"/>
      <c r="E4" s="3975" t="s">
        <v>3698</v>
      </c>
      <c r="F4" s="3976"/>
      <c r="G4" s="3973" t="s">
        <v>3699</v>
      </c>
      <c r="H4" s="3974"/>
      <c r="I4" s="3973" t="s">
        <v>3700</v>
      </c>
      <c r="J4" s="3974"/>
      <c r="K4" s="3322" t="s">
        <v>3701</v>
      </c>
      <c r="L4" s="3323"/>
      <c r="M4" s="3324"/>
      <c r="N4" s="3324"/>
      <c r="O4" s="3324"/>
      <c r="P4" s="3977" t="s">
        <v>3696</v>
      </c>
      <c r="Q4" s="3978"/>
      <c r="R4" s="3994" t="s">
        <v>3698</v>
      </c>
      <c r="S4" s="3995"/>
      <c r="T4" s="3994" t="s">
        <v>3699</v>
      </c>
      <c r="U4" s="3995"/>
      <c r="V4" s="4003" t="s">
        <v>3700</v>
      </c>
      <c r="W4" s="4003"/>
      <c r="X4" s="3634"/>
      <c r="Y4" s="3994" t="s">
        <v>3696</v>
      </c>
      <c r="Z4" s="3995"/>
      <c r="AA4" s="4005" t="s">
        <v>3698</v>
      </c>
      <c r="AB4" s="4005" t="s">
        <v>3699</v>
      </c>
      <c r="AC4" s="3998" t="s">
        <v>3700</v>
      </c>
    </row>
    <row r="5" spans="1:29">
      <c r="A5" s="3327"/>
      <c r="B5" s="3328"/>
      <c r="C5" s="3985" t="s">
        <v>3922</v>
      </c>
      <c r="D5" s="3986"/>
      <c r="E5" s="3983" t="s">
        <v>3926</v>
      </c>
      <c r="F5" s="3984"/>
      <c r="G5" s="3985" t="s">
        <v>3927</v>
      </c>
      <c r="H5" s="3986"/>
      <c r="I5" s="3985" t="s">
        <v>3928</v>
      </c>
      <c r="J5" s="3986"/>
      <c r="K5" s="3322"/>
      <c r="L5" s="3323"/>
      <c r="M5" s="3324"/>
      <c r="N5" s="3324"/>
      <c r="O5" s="3324"/>
      <c r="P5" s="3979"/>
      <c r="Q5" s="3980"/>
      <c r="R5" s="3996"/>
      <c r="S5" s="3997"/>
      <c r="T5" s="3996"/>
      <c r="U5" s="3997"/>
      <c r="V5" s="4004"/>
      <c r="W5" s="4004"/>
      <c r="X5" s="3325"/>
      <c r="Y5" s="3996"/>
      <c r="Z5" s="3997"/>
      <c r="AA5" s="4006"/>
      <c r="AB5" s="4006"/>
      <c r="AC5" s="3999"/>
    </row>
    <row r="6" spans="1:29" ht="14.25" thickBot="1">
      <c r="A6" s="3329"/>
      <c r="B6" s="3330"/>
      <c r="C6" s="3987" t="s">
        <v>3702</v>
      </c>
      <c r="D6" s="3988"/>
      <c r="E6" s="3989" t="s">
        <v>3941</v>
      </c>
      <c r="F6" s="3990"/>
      <c r="G6" s="3987" t="s">
        <v>3940</v>
      </c>
      <c r="H6" s="3988"/>
      <c r="I6" s="3987" t="s">
        <v>3939</v>
      </c>
      <c r="J6" s="3988"/>
      <c r="K6" s="3322" t="s">
        <v>3703</v>
      </c>
      <c r="L6" s="3323"/>
      <c r="M6" s="3324"/>
      <c r="N6" s="3324"/>
      <c r="O6" s="3324"/>
      <c r="P6" s="3981"/>
      <c r="Q6" s="3982"/>
      <c r="R6" s="3996"/>
      <c r="S6" s="3997"/>
      <c r="T6" s="4001"/>
      <c r="U6" s="4002"/>
      <c r="V6" s="4004"/>
      <c r="W6" s="4004"/>
      <c r="X6" s="3325"/>
      <c r="Y6" s="4001"/>
      <c r="Z6" s="4002"/>
      <c r="AA6" s="4007"/>
      <c r="AB6" s="4007"/>
      <c r="AC6" s="4000"/>
    </row>
    <row r="7" spans="1:29" s="3343" customFormat="1" ht="15" thickBot="1">
      <c r="A7" s="3331" t="s">
        <v>3704</v>
      </c>
      <c r="B7" s="3332"/>
      <c r="C7" s="3633">
        <f>'数据-取费表'!B2</f>
        <v>43110</v>
      </c>
      <c r="D7" s="3333">
        <v>100</v>
      </c>
      <c r="E7" s="3334">
        <v>43110</v>
      </c>
      <c r="F7" s="3335">
        <f>SUMIF(59:59,YEAR(E7)&amp;"-"&amp;MONTH(E7),60:60)</f>
        <v>100</v>
      </c>
      <c r="G7" s="3334">
        <v>43110</v>
      </c>
      <c r="H7" s="3333">
        <f>SUMIF(59:59,YEAR(G7)&amp;"-"&amp;MONTH(G7),60:60)</f>
        <v>100</v>
      </c>
      <c r="I7" s="3334">
        <v>43110</v>
      </c>
      <c r="J7" s="3333">
        <f>SUMIF(59:59,YEAR(I7)&amp;"-"&amp;MONTH(I7),60:60)</f>
        <v>100</v>
      </c>
      <c r="K7" s="3336"/>
      <c r="L7" s="3337"/>
      <c r="M7" s="3338"/>
      <c r="N7" s="3338"/>
      <c r="O7" s="3338"/>
      <c r="P7" s="4008" t="s">
        <v>3704</v>
      </c>
      <c r="Q7" s="4009"/>
      <c r="R7" s="3339" t="s">
        <v>3705</v>
      </c>
      <c r="S7" s="3340">
        <f t="shared" ref="S7:S15" si="0">F7</f>
        <v>100</v>
      </c>
      <c r="T7" s="3339" t="s">
        <v>3705</v>
      </c>
      <c r="U7" s="3340">
        <f t="shared" ref="U7:U15" si="1">H7</f>
        <v>100</v>
      </c>
      <c r="V7" s="3339" t="s">
        <v>3705</v>
      </c>
      <c r="W7" s="3340">
        <f t="shared" ref="W7:W15" si="2">J7</f>
        <v>100</v>
      </c>
      <c r="X7" s="3341"/>
      <c r="Y7" s="3992" t="s">
        <v>3704</v>
      </c>
      <c r="Z7" s="3993"/>
      <c r="AA7" s="3342">
        <f t="shared" ref="AA7:AA15" si="3">D7/F7</f>
        <v>1</v>
      </c>
      <c r="AB7" s="3342">
        <f t="shared" ref="AB7:AB15" si="4">D7/H7</f>
        <v>1</v>
      </c>
      <c r="AC7" s="3612">
        <f t="shared" ref="AC7:AC15" si="5">D7/J7</f>
        <v>1</v>
      </c>
    </row>
    <row r="8" spans="1:29" s="3343" customFormat="1" ht="15" thickBot="1">
      <c r="A8" s="3331" t="s">
        <v>3706</v>
      </c>
      <c r="B8" s="3332"/>
      <c r="C8" s="3344" t="s">
        <v>3707</v>
      </c>
      <c r="D8" s="3333">
        <v>100</v>
      </c>
      <c r="E8" s="3344" t="s">
        <v>3050</v>
      </c>
      <c r="F8" s="3335">
        <f>SUMIF(62:62,E8,63:63)-SUMIF(62:62,C8,63:63)+100</f>
        <v>100</v>
      </c>
      <c r="G8" s="3344" t="s">
        <v>3707</v>
      </c>
      <c r="H8" s="3333">
        <f>SUMIF(62:62,G8,63:63)-SUMIF(62:62,C8,63:63)+100</f>
        <v>100</v>
      </c>
      <c r="I8" s="3344" t="s">
        <v>3707</v>
      </c>
      <c r="J8" s="3333">
        <f>SUMIF(62:62,I8,63:63)-SUMIF(62:62,C8,63:63)+100</f>
        <v>100</v>
      </c>
      <c r="K8" s="3336"/>
      <c r="L8" s="3337"/>
      <c r="M8" s="3338"/>
      <c r="N8" s="3338"/>
      <c r="O8" s="3338"/>
      <c r="P8" s="4008" t="s">
        <v>3706</v>
      </c>
      <c r="Q8" s="3993"/>
      <c r="R8" s="3339" t="s">
        <v>3705</v>
      </c>
      <c r="S8" s="3340">
        <f t="shared" si="0"/>
        <v>100</v>
      </c>
      <c r="T8" s="3339" t="s">
        <v>3705</v>
      </c>
      <c r="U8" s="3340">
        <f t="shared" si="1"/>
        <v>100</v>
      </c>
      <c r="V8" s="3339" t="s">
        <v>3705</v>
      </c>
      <c r="W8" s="3340">
        <f t="shared" si="2"/>
        <v>100</v>
      </c>
      <c r="X8" s="3341"/>
      <c r="Y8" s="3992" t="s">
        <v>3706</v>
      </c>
      <c r="Z8" s="3993"/>
      <c r="AA8" s="3342">
        <f t="shared" si="3"/>
        <v>1</v>
      </c>
      <c r="AB8" s="3342">
        <f t="shared" si="4"/>
        <v>1</v>
      </c>
      <c r="AC8" s="3612">
        <f t="shared" si="5"/>
        <v>1</v>
      </c>
    </row>
    <row r="9" spans="1:29" s="3343" customFormat="1" ht="14.25">
      <c r="A9" s="3345" t="s">
        <v>3710</v>
      </c>
      <c r="B9" s="3346" t="s">
        <v>3921</v>
      </c>
      <c r="C9" s="3347" t="s">
        <v>3920</v>
      </c>
      <c r="D9" s="3348">
        <v>100</v>
      </c>
      <c r="E9" s="3632" t="s">
        <v>27</v>
      </c>
      <c r="F9" s="3348">
        <f>SUMIF(64:64,E9,65:65)-SUMIF(64:64,C9,65:65)+100</f>
        <v>100</v>
      </c>
      <c r="G9" s="3349" t="s">
        <v>27</v>
      </c>
      <c r="H9" s="3348">
        <f>SUMIF(64:64,G9,65:65)-SUMIF(64:64,C9,65:65)+100</f>
        <v>100</v>
      </c>
      <c r="I9" s="3349" t="s">
        <v>27</v>
      </c>
      <c r="J9" s="3348">
        <f>SUMIF(64:64,I9,65:65)-SUMIF(64:64,C9,65:65)+100</f>
        <v>100</v>
      </c>
      <c r="K9" s="3336"/>
      <c r="L9" s="3337"/>
      <c r="M9" s="3338"/>
      <c r="N9" s="3338"/>
      <c r="O9" s="3338"/>
      <c r="P9" s="3958" t="s">
        <v>3710</v>
      </c>
      <c r="Q9" s="3350" t="str">
        <f t="shared" ref="Q9:Q15" si="6">B9</f>
        <v>用途</v>
      </c>
      <c r="R9" s="3339" t="s">
        <v>3705</v>
      </c>
      <c r="S9" s="3340">
        <f t="shared" si="0"/>
        <v>100</v>
      </c>
      <c r="T9" s="3339" t="s">
        <v>3705</v>
      </c>
      <c r="U9" s="3340">
        <f t="shared" si="1"/>
        <v>100</v>
      </c>
      <c r="V9" s="3339" t="s">
        <v>3705</v>
      </c>
      <c r="W9" s="3340">
        <f t="shared" si="2"/>
        <v>100</v>
      </c>
      <c r="X9" s="3341"/>
      <c r="Y9" s="3991" t="s">
        <v>3710</v>
      </c>
      <c r="Z9" s="3351" t="str">
        <f t="shared" ref="Z9:Z15" si="7">Q9</f>
        <v>用途</v>
      </c>
      <c r="AA9" s="3342">
        <f t="shared" si="3"/>
        <v>1</v>
      </c>
      <c r="AB9" s="3342">
        <f t="shared" si="4"/>
        <v>1</v>
      </c>
      <c r="AC9" s="3612">
        <f t="shared" si="5"/>
        <v>1</v>
      </c>
    </row>
    <row r="10" spans="1:29" s="3361" customFormat="1" ht="27">
      <c r="A10" s="3352"/>
      <c r="B10" s="3353" t="s">
        <v>3711</v>
      </c>
      <c r="C10" s="3354" t="s">
        <v>3919</v>
      </c>
      <c r="D10" s="3355">
        <v>100</v>
      </c>
      <c r="E10" s="3354" t="s">
        <v>3919</v>
      </c>
      <c r="F10" s="3355">
        <f>SUMIF(66:66,E10,67:67)-SUMIF(66:66,C10,67:67)+100</f>
        <v>100</v>
      </c>
      <c r="G10" s="3356" t="s">
        <v>3919</v>
      </c>
      <c r="H10" s="3355">
        <f>SUMIF(66:66,G10,67:67)-SUMIF(66:66,C10,67:67)+100</f>
        <v>100</v>
      </c>
      <c r="I10" s="3354" t="s">
        <v>3919</v>
      </c>
      <c r="J10" s="3355">
        <f>SUMIF(66:66,I10,67:67)-SUMIF(66:66,C10,67:67)+100</f>
        <v>100</v>
      </c>
      <c r="K10" s="3358">
        <v>1</v>
      </c>
      <c r="L10" s="3359"/>
      <c r="M10" s="3360"/>
      <c r="N10" s="3360"/>
      <c r="O10" s="3360"/>
      <c r="P10" s="3958"/>
      <c r="Q10" s="3350" t="str">
        <f t="shared" si="6"/>
        <v>土地使用年限（年）</v>
      </c>
      <c r="R10" s="3339" t="s">
        <v>3705</v>
      </c>
      <c r="S10" s="3340">
        <f t="shared" si="0"/>
        <v>100</v>
      </c>
      <c r="T10" s="3339" t="s">
        <v>3705</v>
      </c>
      <c r="U10" s="3340">
        <f t="shared" si="1"/>
        <v>100</v>
      </c>
      <c r="V10" s="3339" t="s">
        <v>3705</v>
      </c>
      <c r="W10" s="3340">
        <f t="shared" si="2"/>
        <v>100</v>
      </c>
      <c r="X10" s="3341"/>
      <c r="Y10" s="3991"/>
      <c r="Z10" s="3351" t="str">
        <f t="shared" si="7"/>
        <v>土地使用年限（年）</v>
      </c>
      <c r="AA10" s="3342">
        <f t="shared" si="3"/>
        <v>1</v>
      </c>
      <c r="AB10" s="3342">
        <f t="shared" si="4"/>
        <v>1</v>
      </c>
      <c r="AC10" s="3612">
        <f t="shared" si="5"/>
        <v>1</v>
      </c>
    </row>
    <row r="11" spans="1:29" ht="15">
      <c r="A11" s="3362"/>
      <c r="B11" s="3353" t="s">
        <v>3713</v>
      </c>
      <c r="C11" s="3363">
        <v>1</v>
      </c>
      <c r="D11" s="3355">
        <v>100</v>
      </c>
      <c r="E11" s="3363">
        <v>1</v>
      </c>
      <c r="F11" s="3355">
        <f>LOOKUP(E11,69:69,70:70)-LOOKUP(C11,69:69,70:70)+100</f>
        <v>100</v>
      </c>
      <c r="G11" s="3364">
        <v>1</v>
      </c>
      <c r="H11" s="3355">
        <f>LOOKUP(G11,69:69,70:70)-LOOKUP(C11,69:69,70:70)+100</f>
        <v>100</v>
      </c>
      <c r="I11" s="3363">
        <v>1</v>
      </c>
      <c r="J11" s="3355">
        <f>LOOKUP(I11,69:69,70:70)-LOOKUP(C11,69:69,70:70)+100</f>
        <v>100</v>
      </c>
      <c r="K11" s="3358">
        <v>3</v>
      </c>
      <c r="L11" s="3365"/>
      <c r="M11" s="3324"/>
      <c r="N11" s="3324"/>
      <c r="O11" s="3324"/>
      <c r="P11" s="3958"/>
      <c r="Q11" s="3350" t="str">
        <f t="shared" si="6"/>
        <v>容积率</v>
      </c>
      <c r="R11" s="3339" t="s">
        <v>3705</v>
      </c>
      <c r="S11" s="3340">
        <f t="shared" si="0"/>
        <v>100</v>
      </c>
      <c r="T11" s="3339" t="s">
        <v>3705</v>
      </c>
      <c r="U11" s="3340">
        <f t="shared" si="1"/>
        <v>100</v>
      </c>
      <c r="V11" s="3339" t="s">
        <v>3705</v>
      </c>
      <c r="W11" s="3340">
        <f t="shared" si="2"/>
        <v>100</v>
      </c>
      <c r="X11" s="3341"/>
      <c r="Y11" s="3991"/>
      <c r="Z11" s="3351" t="str">
        <f t="shared" si="7"/>
        <v>容积率</v>
      </c>
      <c r="AA11" s="3342">
        <f t="shared" si="3"/>
        <v>1</v>
      </c>
      <c r="AB11" s="3342">
        <f t="shared" si="4"/>
        <v>1</v>
      </c>
      <c r="AC11" s="3612">
        <f t="shared" si="5"/>
        <v>1</v>
      </c>
    </row>
    <row r="12" spans="1:29" s="3343" customFormat="1" ht="14.25">
      <c r="A12" s="3366"/>
      <c r="B12" s="3367">
        <v>111</v>
      </c>
      <c r="C12" s="3368">
        <v>111</v>
      </c>
      <c r="D12" s="3369">
        <v>100</v>
      </c>
      <c r="E12" s="3368">
        <v>111</v>
      </c>
      <c r="F12" s="3355">
        <f>SUMIF(71:71,E12,72:72)-SUMIF(71:71,C12,72:72)+100</f>
        <v>100</v>
      </c>
      <c r="G12" s="3616">
        <v>111</v>
      </c>
      <c r="H12" s="3355">
        <f>SUMIF(71:71,G12,72:72)-SUMIF(71:71,C12,72:72)+100</f>
        <v>100</v>
      </c>
      <c r="I12" s="3368">
        <v>111</v>
      </c>
      <c r="J12" s="3355">
        <f>SUMIF(71:71,I12,72:72)-SUMIF(71:71,C12,72:72)+100</f>
        <v>100</v>
      </c>
      <c r="K12" s="3371"/>
      <c r="L12" s="3337"/>
      <c r="M12" s="3338"/>
      <c r="N12" s="3338"/>
      <c r="O12" s="3338"/>
      <c r="P12" s="3958"/>
      <c r="Q12" s="3350">
        <f t="shared" si="6"/>
        <v>111</v>
      </c>
      <c r="R12" s="3339" t="s">
        <v>3705</v>
      </c>
      <c r="S12" s="3340">
        <f t="shared" si="0"/>
        <v>100</v>
      </c>
      <c r="T12" s="3339" t="s">
        <v>3705</v>
      </c>
      <c r="U12" s="3340">
        <f t="shared" si="1"/>
        <v>100</v>
      </c>
      <c r="V12" s="3339" t="s">
        <v>3705</v>
      </c>
      <c r="W12" s="3340">
        <f t="shared" si="2"/>
        <v>100</v>
      </c>
      <c r="X12" s="3341"/>
      <c r="Y12" s="3991"/>
      <c r="Z12" s="3351">
        <f t="shared" si="7"/>
        <v>111</v>
      </c>
      <c r="AA12" s="3342">
        <f t="shared" si="3"/>
        <v>1</v>
      </c>
      <c r="AB12" s="3342">
        <f t="shared" si="4"/>
        <v>1</v>
      </c>
      <c r="AC12" s="3612">
        <f t="shared" si="5"/>
        <v>1</v>
      </c>
    </row>
    <row r="13" spans="1:29" ht="14.25">
      <c r="A13" s="3362"/>
      <c r="B13" s="3367">
        <v>111</v>
      </c>
      <c r="C13" s="3370">
        <v>111</v>
      </c>
      <c r="D13" s="3372">
        <v>100</v>
      </c>
      <c r="E13" s="3368">
        <v>111</v>
      </c>
      <c r="F13" s="3355">
        <f>SUMIF(73:73,E13,74:74)-SUMIF(73:73,C13,74:74)+100</f>
        <v>100</v>
      </c>
      <c r="G13" s="3616">
        <v>111</v>
      </c>
      <c r="H13" s="3372">
        <f>SUMIF(73:73,G13,74:74)-SUMIF(73:73,C13,74:74)+100</f>
        <v>100</v>
      </c>
      <c r="I13" s="3368">
        <v>111</v>
      </c>
      <c r="J13" s="3372">
        <f>SUMIF(73:73,I13,74:74)-SUMIF(73:73,C13,74:74)+100</f>
        <v>100</v>
      </c>
      <c r="K13" s="3371"/>
      <c r="L13" s="3373"/>
      <c r="M13" s="3324"/>
      <c r="N13" s="3324"/>
      <c r="O13" s="3324"/>
      <c r="P13" s="3958"/>
      <c r="Q13" s="3350">
        <f t="shared" si="6"/>
        <v>111</v>
      </c>
      <c r="R13" s="3339" t="s">
        <v>3705</v>
      </c>
      <c r="S13" s="3340">
        <f t="shared" si="0"/>
        <v>100</v>
      </c>
      <c r="T13" s="3339" t="s">
        <v>3705</v>
      </c>
      <c r="U13" s="3340">
        <f t="shared" si="1"/>
        <v>100</v>
      </c>
      <c r="V13" s="3339" t="s">
        <v>3705</v>
      </c>
      <c r="W13" s="3340">
        <f t="shared" si="2"/>
        <v>100</v>
      </c>
      <c r="X13" s="3341"/>
      <c r="Y13" s="3991"/>
      <c r="Z13" s="3351">
        <f t="shared" si="7"/>
        <v>111</v>
      </c>
      <c r="AA13" s="3342">
        <f t="shared" si="3"/>
        <v>1</v>
      </c>
      <c r="AB13" s="3342">
        <f t="shared" si="4"/>
        <v>1</v>
      </c>
      <c r="AC13" s="3612">
        <f t="shared" si="5"/>
        <v>1</v>
      </c>
    </row>
    <row r="14" spans="1:29" ht="15" thickBot="1">
      <c r="A14" s="3374"/>
      <c r="B14" s="3375">
        <v>111</v>
      </c>
      <c r="C14" s="3376">
        <v>111</v>
      </c>
      <c r="D14" s="3377">
        <v>100</v>
      </c>
      <c r="E14" s="3617">
        <v>111</v>
      </c>
      <c r="F14" s="3377">
        <f>SUMIF(75:75,E14,76:76)-SUMIF(75:75,C14,76:76)+100</f>
        <v>100</v>
      </c>
      <c r="G14" s="3616">
        <v>111</v>
      </c>
      <c r="H14" s="3377">
        <f>SUMIF(75:75,G14,76:76)-SUMIF(75:75,C14,76:76)+100</f>
        <v>100</v>
      </c>
      <c r="I14" s="3368">
        <v>111</v>
      </c>
      <c r="J14" s="3377">
        <f>SUMIF(75:75,I14,76:76)-SUMIF(75:75,C14,76:76)+100</f>
        <v>100</v>
      </c>
      <c r="K14" s="3371"/>
      <c r="L14" s="3373"/>
      <c r="M14" s="3324"/>
      <c r="N14" s="3324"/>
      <c r="O14" s="3324"/>
      <c r="P14" s="3958"/>
      <c r="Q14" s="3350">
        <f t="shared" si="6"/>
        <v>111</v>
      </c>
      <c r="R14" s="3339" t="s">
        <v>3705</v>
      </c>
      <c r="S14" s="3340">
        <f t="shared" si="0"/>
        <v>100</v>
      </c>
      <c r="T14" s="3339" t="s">
        <v>3705</v>
      </c>
      <c r="U14" s="3340">
        <f t="shared" si="1"/>
        <v>100</v>
      </c>
      <c r="V14" s="3339" t="s">
        <v>3705</v>
      </c>
      <c r="W14" s="3340">
        <f t="shared" si="2"/>
        <v>100</v>
      </c>
      <c r="X14" s="3341"/>
      <c r="Y14" s="3991"/>
      <c r="Z14" s="3351">
        <f t="shared" si="7"/>
        <v>111</v>
      </c>
      <c r="AA14" s="3342">
        <f t="shared" si="3"/>
        <v>1</v>
      </c>
      <c r="AB14" s="3342">
        <f t="shared" si="4"/>
        <v>1</v>
      </c>
      <c r="AC14" s="3612">
        <f t="shared" si="5"/>
        <v>1</v>
      </c>
    </row>
    <row r="15" spans="1:29" ht="54">
      <c r="A15" s="3379" t="s">
        <v>3714</v>
      </c>
      <c r="B15" s="3631" t="s">
        <v>3918</v>
      </c>
      <c r="C15" s="3630" t="str">
        <f>估价对象房地状况!C5</f>
        <v>周边办公楼项目较多，入驻率高，办公集聚程度好</v>
      </c>
      <c r="D15" s="3380">
        <v>100</v>
      </c>
      <c r="E15" s="3382"/>
      <c r="F15" s="3380">
        <f>SUMIF(77:77,E16,78:78)-SUMIF(77:77,C16,78:78)+100</f>
        <v>100</v>
      </c>
      <c r="G15" s="3381"/>
      <c r="H15" s="3380">
        <f>SUMIF(77:77,G16,78:78)-SUMIF(77:77,C16,78:78)+100</f>
        <v>100</v>
      </c>
      <c r="I15" s="3381"/>
      <c r="J15" s="3380">
        <f>SUMIF(77:77,I16,78:78)-SUMIF(77:77,C16,78:78)+100</f>
        <v>100</v>
      </c>
      <c r="K15" s="3383">
        <v>2</v>
      </c>
      <c r="L15" s="3373"/>
      <c r="M15" s="3324"/>
      <c r="N15" s="3324"/>
      <c r="O15" s="3324"/>
      <c r="P15" s="3964" t="s">
        <v>3714</v>
      </c>
      <c r="Q15" s="3384" t="str">
        <f t="shared" si="6"/>
        <v>办公集聚程度</v>
      </c>
      <c r="R15" s="3385" t="s">
        <v>3705</v>
      </c>
      <c r="S15" s="3386">
        <f t="shared" si="0"/>
        <v>100</v>
      </c>
      <c r="T15" s="3385" t="s">
        <v>3705</v>
      </c>
      <c r="U15" s="3386">
        <f t="shared" si="1"/>
        <v>100</v>
      </c>
      <c r="V15" s="3385" t="s">
        <v>3705</v>
      </c>
      <c r="W15" s="3386">
        <f t="shared" si="2"/>
        <v>100</v>
      </c>
      <c r="X15" s="3325"/>
      <c r="Y15" s="3966" t="s">
        <v>3714</v>
      </c>
      <c r="Z15" s="3387" t="str">
        <f t="shared" si="7"/>
        <v>办公集聚程度</v>
      </c>
      <c r="AA15" s="3388">
        <f t="shared" si="3"/>
        <v>1</v>
      </c>
      <c r="AB15" s="3388">
        <f t="shared" si="4"/>
        <v>1</v>
      </c>
      <c r="AC15" s="3611">
        <f t="shared" si="5"/>
        <v>1</v>
      </c>
    </row>
    <row r="16" spans="1:29" ht="14.25">
      <c r="A16" s="3362"/>
      <c r="B16" s="3608"/>
      <c r="C16" s="3626" t="s">
        <v>3208</v>
      </c>
      <c r="D16" s="3391"/>
      <c r="E16" s="3390" t="s">
        <v>3943</v>
      </c>
      <c r="F16" s="3391"/>
      <c r="G16" s="3626" t="s">
        <v>3943</v>
      </c>
      <c r="H16" s="3392"/>
      <c r="I16" s="3390" t="s">
        <v>3943</v>
      </c>
      <c r="J16" s="3391"/>
      <c r="K16" s="3393"/>
      <c r="L16" s="3373"/>
      <c r="M16" s="3324"/>
      <c r="N16" s="3324"/>
      <c r="O16" s="3324"/>
      <c r="P16" s="3965"/>
      <c r="Q16" s="3384"/>
      <c r="R16" s="3385"/>
      <c r="S16" s="3386"/>
      <c r="T16" s="3385"/>
      <c r="U16" s="3386"/>
      <c r="V16" s="3385"/>
      <c r="W16" s="3386"/>
      <c r="X16" s="3325"/>
      <c r="Y16" s="3967"/>
      <c r="Z16" s="3387"/>
      <c r="AA16" s="3388">
        <v>1</v>
      </c>
      <c r="AB16" s="3388">
        <v>1</v>
      </c>
      <c r="AC16" s="3611">
        <v>1</v>
      </c>
    </row>
    <row r="17" spans="1:29" ht="67.5">
      <c r="A17" s="3362"/>
      <c r="B17" s="3623" t="s">
        <v>3715</v>
      </c>
      <c r="C17" s="3628" t="str">
        <f>估价对象房地状况!C6</f>
        <v>周边道路状况好、公共交通通达情况好、停车便捷，综合评价交通便捷度好</v>
      </c>
      <c r="D17" s="3392">
        <v>100</v>
      </c>
      <c r="E17" s="3395"/>
      <c r="F17" s="3392">
        <f>SUMIF(79:79,E18,80:80)-SUMIF(79:79,C18,80:80)+100</f>
        <v>95</v>
      </c>
      <c r="G17" s="3394"/>
      <c r="H17" s="3396">
        <f>SUMIF(79:79,G18,80:80)-SUMIF(79:79,C18,80:80)+100</f>
        <v>95</v>
      </c>
      <c r="I17" s="3394"/>
      <c r="J17" s="3396">
        <f>SUMIF(79:79,I18,80:80)-SUMIF(79:79,C18,80:80)+100</f>
        <v>95</v>
      </c>
      <c r="K17" s="3383">
        <v>5</v>
      </c>
      <c r="L17" s="3373"/>
      <c r="M17" s="3324"/>
      <c r="N17" s="3324"/>
      <c r="O17" s="3324"/>
      <c r="P17" s="3965"/>
      <c r="Q17" s="3384" t="str">
        <f>B17</f>
        <v>交通便捷度</v>
      </c>
      <c r="R17" s="3385" t="s">
        <v>3705</v>
      </c>
      <c r="S17" s="3386">
        <f>F17</f>
        <v>95</v>
      </c>
      <c r="T17" s="3385" t="s">
        <v>3705</v>
      </c>
      <c r="U17" s="3386">
        <f>H17</f>
        <v>95</v>
      </c>
      <c r="V17" s="3385" t="s">
        <v>3705</v>
      </c>
      <c r="W17" s="3386">
        <f>J17</f>
        <v>95</v>
      </c>
      <c r="X17" s="3325"/>
      <c r="Y17" s="3967"/>
      <c r="Z17" s="3387" t="str">
        <f>Q17</f>
        <v>交通便捷度</v>
      </c>
      <c r="AA17" s="3388">
        <f>D17/F17</f>
        <v>1.0526315789473684</v>
      </c>
      <c r="AB17" s="3388">
        <f>D17/H17</f>
        <v>1.0526315789473684</v>
      </c>
      <c r="AC17" s="3611">
        <f>D17/J17</f>
        <v>1.0526315789473684</v>
      </c>
    </row>
    <row r="18" spans="1:29" ht="14.25">
      <c r="A18" s="3362"/>
      <c r="B18" s="3625"/>
      <c r="C18" s="3629" t="s">
        <v>3208</v>
      </c>
      <c r="D18" s="3392"/>
      <c r="E18" s="3398" t="s">
        <v>3205</v>
      </c>
      <c r="F18" s="3392"/>
      <c r="G18" s="3397" t="s">
        <v>3944</v>
      </c>
      <c r="H18" s="3391"/>
      <c r="I18" s="3397" t="s">
        <v>3205</v>
      </c>
      <c r="J18" s="3391"/>
      <c r="K18" s="3393"/>
      <c r="L18" s="3373"/>
      <c r="M18" s="3324"/>
      <c r="N18" s="3324"/>
      <c r="O18" s="3324"/>
      <c r="P18" s="3965"/>
      <c r="Q18" s="3384"/>
      <c r="R18" s="3385"/>
      <c r="S18" s="3386"/>
      <c r="T18" s="3385"/>
      <c r="U18" s="3386"/>
      <c r="V18" s="3385"/>
      <c r="W18" s="3386"/>
      <c r="X18" s="3325"/>
      <c r="Y18" s="3967"/>
      <c r="Z18" s="3387"/>
      <c r="AA18" s="3388">
        <v>1</v>
      </c>
      <c r="AB18" s="3388">
        <v>1</v>
      </c>
      <c r="AC18" s="3611">
        <v>1</v>
      </c>
    </row>
    <row r="19" spans="1:29" ht="40.5">
      <c r="A19" s="3362"/>
      <c r="B19" s="3623" t="s">
        <v>3716</v>
      </c>
      <c r="C19" s="3628" t="str">
        <f>估价对象房地状况!C7</f>
        <v>估价对象所在区域公共配套设施齐备</v>
      </c>
      <c r="D19" s="3396">
        <v>100</v>
      </c>
      <c r="E19" s="3400"/>
      <c r="F19" s="3396">
        <f>SUMIF(81:81,E20,82:82)-SUMIF(81:81,C20,82:82)+100</f>
        <v>100</v>
      </c>
      <c r="G19" s="3399"/>
      <c r="H19" s="3392">
        <f>SUMIF(81:81,G20,82:82)-SUMIF(81:81,C20,82:82)+100</f>
        <v>100</v>
      </c>
      <c r="I19" s="3399"/>
      <c r="J19" s="3392">
        <f>SUMIF(81:81,I20,82:82)-SUMIF(81:81,C20,82:82)+100</f>
        <v>100</v>
      </c>
      <c r="K19" s="3383">
        <v>2</v>
      </c>
      <c r="L19" s="3373"/>
      <c r="M19" s="3324"/>
      <c r="N19" s="3324"/>
      <c r="O19" s="3324"/>
      <c r="P19" s="3965"/>
      <c r="Q19" s="3384" t="str">
        <f>B19</f>
        <v>公共配套设施</v>
      </c>
      <c r="R19" s="3385" t="s">
        <v>3705</v>
      </c>
      <c r="S19" s="3386">
        <f>F19</f>
        <v>100</v>
      </c>
      <c r="T19" s="3385" t="s">
        <v>3705</v>
      </c>
      <c r="U19" s="3386">
        <f>H19</f>
        <v>100</v>
      </c>
      <c r="V19" s="3385" t="s">
        <v>3705</v>
      </c>
      <c r="W19" s="3386">
        <f>J19</f>
        <v>100</v>
      </c>
      <c r="X19" s="3325"/>
      <c r="Y19" s="3967"/>
      <c r="Z19" s="3387" t="str">
        <f>Q19</f>
        <v>公共配套设施</v>
      </c>
      <c r="AA19" s="3388">
        <f>D19/F19</f>
        <v>1</v>
      </c>
      <c r="AB19" s="3388">
        <f>D19/H19</f>
        <v>1</v>
      </c>
      <c r="AC19" s="3611">
        <f>D19/J19</f>
        <v>1</v>
      </c>
    </row>
    <row r="20" spans="1:29" ht="14.25">
      <c r="A20" s="3362"/>
      <c r="B20" s="3625"/>
      <c r="C20" s="3626" t="s">
        <v>3208</v>
      </c>
      <c r="D20" s="3391"/>
      <c r="E20" s="3402" t="s">
        <v>3943</v>
      </c>
      <c r="F20" s="3391"/>
      <c r="G20" s="3401" t="s">
        <v>3943</v>
      </c>
      <c r="H20" s="3391"/>
      <c r="I20" s="3401" t="s">
        <v>3943</v>
      </c>
      <c r="J20" s="3391"/>
      <c r="K20" s="3393"/>
      <c r="L20" s="3373"/>
      <c r="M20" s="3324"/>
      <c r="N20" s="3324"/>
      <c r="O20" s="3324"/>
      <c r="P20" s="3965"/>
      <c r="Q20" s="3384"/>
      <c r="R20" s="3385"/>
      <c r="S20" s="3386"/>
      <c r="T20" s="3385"/>
      <c r="U20" s="3386"/>
      <c r="V20" s="3385"/>
      <c r="W20" s="3386"/>
      <c r="X20" s="3325"/>
      <c r="Y20" s="3967"/>
      <c r="Z20" s="3387"/>
      <c r="AA20" s="3388">
        <v>1</v>
      </c>
      <c r="AB20" s="3388">
        <v>1</v>
      </c>
      <c r="AC20" s="3611">
        <v>1</v>
      </c>
    </row>
    <row r="21" spans="1:29" ht="40.5">
      <c r="A21" s="3362"/>
      <c r="B21" s="3627" t="s">
        <v>3717</v>
      </c>
      <c r="C21" s="3628" t="str">
        <f>估价对象房地状况!C8</f>
        <v>估价对象所在区域基础设施水平七通</v>
      </c>
      <c r="D21" s="3392">
        <v>100</v>
      </c>
      <c r="E21" s="3400"/>
      <c r="F21" s="3396">
        <f>SUMIF(83:83,E22,84:84)-SUMIF(83:83,C22,84:84)+100</f>
        <v>100</v>
      </c>
      <c r="G21" s="3399"/>
      <c r="H21" s="3392">
        <f>SUMIF(83:83,G22,84:84)-SUMIF(83:83,C22,84:84)+100</f>
        <v>100</v>
      </c>
      <c r="I21" s="3399"/>
      <c r="J21" s="3392">
        <f>SUMIF(83:83,I22,84:84)-SUMIF(83:83,C22,84:84)+100</f>
        <v>100</v>
      </c>
      <c r="K21" s="3383">
        <v>2</v>
      </c>
      <c r="L21" s="3373"/>
      <c r="M21" s="3324"/>
      <c r="N21" s="3324"/>
      <c r="O21" s="3324"/>
      <c r="P21" s="3965"/>
      <c r="Q21" s="3384" t="str">
        <f>B21</f>
        <v>基础设施水平</v>
      </c>
      <c r="R21" s="3385" t="s">
        <v>3705</v>
      </c>
      <c r="S21" s="3386">
        <f>F21</f>
        <v>100</v>
      </c>
      <c r="T21" s="3385" t="s">
        <v>3705</v>
      </c>
      <c r="U21" s="3386">
        <f>H21</f>
        <v>100</v>
      </c>
      <c r="V21" s="3385" t="s">
        <v>3705</v>
      </c>
      <c r="W21" s="3386">
        <f>J21</f>
        <v>100</v>
      </c>
      <c r="X21" s="3325"/>
      <c r="Y21" s="3967"/>
      <c r="Z21" s="3387" t="str">
        <f>Q21</f>
        <v>基础设施水平</v>
      </c>
      <c r="AA21" s="3388">
        <f>D21/F21</f>
        <v>1</v>
      </c>
      <c r="AB21" s="3388">
        <f>D21/H21</f>
        <v>1</v>
      </c>
      <c r="AC21" s="3611">
        <f>D21/J21</f>
        <v>1</v>
      </c>
    </row>
    <row r="22" spans="1:29" ht="14.25">
      <c r="A22" s="3362"/>
      <c r="B22" s="3627"/>
      <c r="C22" s="3629" t="s">
        <v>3718</v>
      </c>
      <c r="D22" s="3391"/>
      <c r="E22" s="3390" t="s">
        <v>3718</v>
      </c>
      <c r="F22" s="3391"/>
      <c r="G22" s="3626" t="s">
        <v>3718</v>
      </c>
      <c r="H22" s="3391"/>
      <c r="I22" s="3626" t="s">
        <v>3718</v>
      </c>
      <c r="J22" s="3391"/>
      <c r="K22" s="3403"/>
      <c r="L22" s="3373"/>
      <c r="M22" s="3324"/>
      <c r="N22" s="3324"/>
      <c r="O22" s="3324"/>
      <c r="P22" s="3965"/>
      <c r="Q22" s="3384"/>
      <c r="R22" s="3385"/>
      <c r="S22" s="3386"/>
      <c r="T22" s="3385"/>
      <c r="U22" s="3386"/>
      <c r="V22" s="3385"/>
      <c r="W22" s="3386"/>
      <c r="X22" s="3325"/>
      <c r="Y22" s="3967"/>
      <c r="Z22" s="3387"/>
      <c r="AA22" s="3388">
        <v>1</v>
      </c>
      <c r="AB22" s="3388">
        <v>1</v>
      </c>
      <c r="AC22" s="3611">
        <v>1</v>
      </c>
    </row>
    <row r="23" spans="1:29" ht="54">
      <c r="A23" s="3362"/>
      <c r="B23" s="3623" t="s">
        <v>3917</v>
      </c>
      <c r="C23" s="3640" t="str">
        <f>估价对象房地状况!C9</f>
        <v>区域自然环境好；人文环境好；综合评价环境状况好</v>
      </c>
      <c r="D23" s="3392">
        <v>100</v>
      </c>
      <c r="E23" s="3395"/>
      <c r="F23" s="3392">
        <f>SUMIF(85:85,E24,86:86)-SUMIF(85:85,C24,86:86)+100</f>
        <v>97</v>
      </c>
      <c r="G23" s="3394"/>
      <c r="H23" s="3392">
        <f>SUMIF(85:85,G24,86:86)-SUMIF(85:85,C24,86:86)+100</f>
        <v>97</v>
      </c>
      <c r="I23" s="3394"/>
      <c r="J23" s="3392">
        <f>SUMIF(85:85,I24,86:86)-SUMIF(85:85,C24,86:86)+100</f>
        <v>97</v>
      </c>
      <c r="K23" s="3383">
        <v>3</v>
      </c>
      <c r="L23" s="3373"/>
      <c r="M23" s="3324"/>
      <c r="N23" s="3324"/>
      <c r="O23" s="3324"/>
      <c r="P23" s="3965"/>
      <c r="Q23" s="3384" t="str">
        <f>B23</f>
        <v>环境质量</v>
      </c>
      <c r="R23" s="3385" t="s">
        <v>3705</v>
      </c>
      <c r="S23" s="3386">
        <f>F23</f>
        <v>97</v>
      </c>
      <c r="T23" s="3385" t="s">
        <v>3705</v>
      </c>
      <c r="U23" s="3386">
        <f>H23</f>
        <v>97</v>
      </c>
      <c r="V23" s="3385" t="s">
        <v>3705</v>
      </c>
      <c r="W23" s="3386">
        <f>J23</f>
        <v>97</v>
      </c>
      <c r="X23" s="3325"/>
      <c r="Y23" s="3967"/>
      <c r="Z23" s="3387" t="str">
        <f>Q23</f>
        <v>环境质量</v>
      </c>
      <c r="AA23" s="3388">
        <f>D23/F23</f>
        <v>1.0309278350515463</v>
      </c>
      <c r="AB23" s="3388">
        <f>D23/H23</f>
        <v>1.0309278350515463</v>
      </c>
      <c r="AC23" s="3611">
        <f>D23/J23</f>
        <v>1.0309278350515463</v>
      </c>
    </row>
    <row r="24" spans="1:29" ht="14.25">
      <c r="A24" s="3362"/>
      <c r="B24" s="3627"/>
      <c r="C24" s="3626" t="s">
        <v>3208</v>
      </c>
      <c r="D24" s="3391"/>
      <c r="E24" s="3402" t="s">
        <v>3205</v>
      </c>
      <c r="F24" s="3391"/>
      <c r="G24" s="3401" t="s">
        <v>3205</v>
      </c>
      <c r="H24" s="3391"/>
      <c r="I24" s="3401" t="s">
        <v>3205</v>
      </c>
      <c r="J24" s="3391"/>
      <c r="K24" s="3393"/>
      <c r="L24" s="3373"/>
      <c r="M24" s="3324"/>
      <c r="N24" s="3324"/>
      <c r="O24" s="3324"/>
      <c r="P24" s="3965"/>
      <c r="Q24" s="3384"/>
      <c r="R24" s="3385"/>
      <c r="S24" s="3386"/>
      <c r="T24" s="3385"/>
      <c r="U24" s="3386"/>
      <c r="V24" s="3385"/>
      <c r="W24" s="3386"/>
      <c r="X24" s="3325"/>
      <c r="Y24" s="3967"/>
      <c r="Z24" s="3387"/>
      <c r="AA24" s="3388">
        <v>1</v>
      </c>
      <c r="AB24" s="3388">
        <v>1</v>
      </c>
      <c r="AC24" s="3611">
        <v>1</v>
      </c>
    </row>
    <row r="25" spans="1:29" ht="27">
      <c r="A25" s="3327"/>
      <c r="B25" s="3623" t="s">
        <v>3916</v>
      </c>
      <c r="C25" s="3620" t="s">
        <v>3915</v>
      </c>
      <c r="D25" s="3372">
        <v>100</v>
      </c>
      <c r="E25" s="3370" t="s">
        <v>3930</v>
      </c>
      <c r="F25" s="3372">
        <f>SUMIF(87:87,E26,88:88)-SUMIF(87:87,C26,88:88)+100</f>
        <v>100</v>
      </c>
      <c r="G25" s="3620" t="s">
        <v>3915</v>
      </c>
      <c r="H25" s="3372">
        <f>SUMIF(87:87,G26,88:88)-SUMIF(87:87,C26,88:88)+100</f>
        <v>100</v>
      </c>
      <c r="I25" s="3370" t="s">
        <v>3930</v>
      </c>
      <c r="J25" s="3372">
        <f>SUMIF(87:87,I26,88:88)-SUMIF(87:87,C26,88:88)+100</f>
        <v>100</v>
      </c>
      <c r="K25" s="3383">
        <v>2</v>
      </c>
      <c r="L25" s="3373"/>
      <c r="M25" s="3324"/>
      <c r="N25" s="3324"/>
      <c r="O25" s="3324"/>
      <c r="P25" s="3965"/>
      <c r="Q25" s="3384" t="str">
        <f>B25</f>
        <v>毗邻道路的类型与等级</v>
      </c>
      <c r="R25" s="3385" t="s">
        <v>3705</v>
      </c>
      <c r="S25" s="3386">
        <f>F25</f>
        <v>100</v>
      </c>
      <c r="T25" s="3385" t="s">
        <v>3705</v>
      </c>
      <c r="U25" s="3386">
        <f>H25</f>
        <v>100</v>
      </c>
      <c r="V25" s="3385" t="s">
        <v>3705</v>
      </c>
      <c r="W25" s="3386">
        <f>J25</f>
        <v>100</v>
      </c>
      <c r="X25" s="3325"/>
      <c r="Y25" s="3967"/>
      <c r="Z25" s="3387" t="str">
        <f>Q25</f>
        <v>毗邻道路的类型与等级</v>
      </c>
      <c r="AA25" s="3388">
        <f>D25/F25</f>
        <v>1</v>
      </c>
      <c r="AB25" s="3388">
        <f>D25/H25</f>
        <v>1</v>
      </c>
      <c r="AC25" s="3611">
        <f>D25/J25</f>
        <v>1</v>
      </c>
    </row>
    <row r="26" spans="1:29" ht="15" thickBot="1">
      <c r="A26" s="3327"/>
      <c r="B26" s="3625"/>
      <c r="C26" s="3624" t="s">
        <v>3914</v>
      </c>
      <c r="D26" s="3372"/>
      <c r="E26" s="3404" t="s">
        <v>3914</v>
      </c>
      <c r="F26" s="3372"/>
      <c r="G26" s="3624" t="s">
        <v>3914</v>
      </c>
      <c r="H26" s="3372"/>
      <c r="I26" s="3404" t="s">
        <v>3914</v>
      </c>
      <c r="J26" s="3372"/>
      <c r="K26" s="3393"/>
      <c r="L26" s="3373"/>
      <c r="M26" s="3324"/>
      <c r="N26" s="3324"/>
      <c r="O26" s="3324"/>
      <c r="P26" s="3965"/>
      <c r="Q26" s="3384"/>
      <c r="R26" s="3385"/>
      <c r="S26" s="3386"/>
      <c r="T26" s="3385"/>
      <c r="U26" s="3386"/>
      <c r="V26" s="3385"/>
      <c r="W26" s="3386"/>
      <c r="X26" s="3325"/>
      <c r="Y26" s="3967"/>
      <c r="Z26" s="3387"/>
      <c r="AA26" s="3388">
        <v>1</v>
      </c>
      <c r="AB26" s="3388">
        <v>1</v>
      </c>
      <c r="AC26" s="3611">
        <v>1</v>
      </c>
    </row>
    <row r="27" spans="1:29" ht="15" hidden="1">
      <c r="A27" s="3362"/>
      <c r="B27" s="3625" t="s">
        <v>3721</v>
      </c>
      <c r="C27" s="3624" t="s">
        <v>3913</v>
      </c>
      <c r="D27" s="3372">
        <v>100</v>
      </c>
      <c r="E27" s="3404" t="s">
        <v>3913</v>
      </c>
      <c r="F27" s="3372">
        <f>SUMIF(89:89,E27,90:90)-SUMIF(89:89,C27,90:90)+100</f>
        <v>100</v>
      </c>
      <c r="G27" s="3624" t="s">
        <v>3913</v>
      </c>
      <c r="H27" s="3372">
        <f>SUMIF(89:89,G27,90:90)-SUMIF(89:89,C27,90:90)+100</f>
        <v>100</v>
      </c>
      <c r="I27" s="3404" t="s">
        <v>3913</v>
      </c>
      <c r="J27" s="3372">
        <f>SUMIF(89:89,I27,90:90)-SUMIF(89:89,C27,90:90)+100</f>
        <v>100</v>
      </c>
      <c r="K27" s="3358">
        <v>2</v>
      </c>
      <c r="L27" s="3373"/>
      <c r="M27" s="3324"/>
      <c r="N27" s="3324"/>
      <c r="O27" s="3324"/>
      <c r="P27" s="3965"/>
      <c r="Q27" s="3384" t="str">
        <f t="shared" ref="Q27:Q47" si="8">B27</f>
        <v>楼层</v>
      </c>
      <c r="R27" s="3385" t="s">
        <v>3705</v>
      </c>
      <c r="S27" s="3386">
        <f t="shared" ref="S27:S47" si="9">F27</f>
        <v>100</v>
      </c>
      <c r="T27" s="3385" t="s">
        <v>3705</v>
      </c>
      <c r="U27" s="3386">
        <f t="shared" ref="U27:U47" si="10">H27</f>
        <v>100</v>
      </c>
      <c r="V27" s="3385" t="s">
        <v>3705</v>
      </c>
      <c r="W27" s="3386">
        <f t="shared" ref="W27:W47" si="11">J27</f>
        <v>100</v>
      </c>
      <c r="X27" s="3325"/>
      <c r="Y27" s="3967"/>
      <c r="Z27" s="3387" t="str">
        <f t="shared" ref="Z27:Z47" si="12">Q27</f>
        <v>楼层</v>
      </c>
      <c r="AA27" s="3388">
        <f t="shared" ref="AA27:AA47" si="13">D27/F27</f>
        <v>1</v>
      </c>
      <c r="AB27" s="3388">
        <f t="shared" ref="AB27:AB47" si="14">D27/H27</f>
        <v>1</v>
      </c>
      <c r="AC27" s="3611">
        <f t="shared" ref="AC27:AC47" si="15">D27/J27</f>
        <v>1</v>
      </c>
    </row>
    <row r="28" spans="1:29" s="3343" customFormat="1" ht="15" hidden="1">
      <c r="A28" s="3366"/>
      <c r="B28" s="3623" t="s">
        <v>3912</v>
      </c>
      <c r="C28" s="3622" t="s">
        <v>3911</v>
      </c>
      <c r="D28" s="3408">
        <v>100</v>
      </c>
      <c r="E28" s="3407" t="s">
        <v>3911</v>
      </c>
      <c r="F28" s="3408">
        <f>SUMIF(91:91,E28,92:92)-SUMIF(91:91,C28,92:92)+100</f>
        <v>100</v>
      </c>
      <c r="G28" s="3622" t="s">
        <v>3911</v>
      </c>
      <c r="H28" s="3408">
        <f>SUMIF(91:91,G28,92:92)-SUMIF(91:91,C28,92:92)+100</f>
        <v>100</v>
      </c>
      <c r="I28" s="3407" t="s">
        <v>3911</v>
      </c>
      <c r="J28" s="3408">
        <f>SUMIF(91:91,I28,92:92)-SUMIF(91:91,C28,92:92)+100</f>
        <v>100</v>
      </c>
      <c r="K28" s="3358">
        <v>2</v>
      </c>
      <c r="L28" s="3337"/>
      <c r="M28" s="3338"/>
      <c r="N28" s="3338"/>
      <c r="O28" s="3338"/>
      <c r="P28" s="3965"/>
      <c r="Q28" s="3350" t="str">
        <f t="shared" si="8"/>
        <v>朝向</v>
      </c>
      <c r="R28" s="3339" t="s">
        <v>3705</v>
      </c>
      <c r="S28" s="3340">
        <f t="shared" si="9"/>
        <v>100</v>
      </c>
      <c r="T28" s="3339" t="s">
        <v>3705</v>
      </c>
      <c r="U28" s="3340">
        <f t="shared" si="10"/>
        <v>100</v>
      </c>
      <c r="V28" s="3339" t="s">
        <v>3705</v>
      </c>
      <c r="W28" s="3340">
        <f t="shared" si="11"/>
        <v>100</v>
      </c>
      <c r="X28" s="3341"/>
      <c r="Y28" s="3967"/>
      <c r="Z28" s="3351" t="str">
        <f t="shared" si="12"/>
        <v>朝向</v>
      </c>
      <c r="AA28" s="3388">
        <f t="shared" si="13"/>
        <v>1</v>
      </c>
      <c r="AB28" s="3388">
        <f t="shared" si="14"/>
        <v>1</v>
      </c>
      <c r="AC28" s="3611">
        <f t="shared" si="15"/>
        <v>1</v>
      </c>
    </row>
    <row r="29" spans="1:29" ht="14.25" hidden="1">
      <c r="A29" s="3362"/>
      <c r="B29" s="3621">
        <v>111</v>
      </c>
      <c r="C29" s="3620">
        <v>111</v>
      </c>
      <c r="D29" s="3372">
        <v>100</v>
      </c>
      <c r="E29" s="3368">
        <v>111</v>
      </c>
      <c r="F29" s="3372">
        <f>SUMIF(93:93,E29,94:94)-SUMIF(93:93,C29,94:94)+100</f>
        <v>100</v>
      </c>
      <c r="G29" s="3616">
        <v>111</v>
      </c>
      <c r="H29" s="3372">
        <f>SUMIF(93:93,G29,94:94)-SUMIF(93:93,C29,94:94)+100</f>
        <v>100</v>
      </c>
      <c r="I29" s="3368">
        <v>111</v>
      </c>
      <c r="J29" s="3372">
        <f>SUMIF(93:93,I29,94:94)-SUMIF(93:93,C29,94:94)+100</f>
        <v>100</v>
      </c>
      <c r="K29" s="3371"/>
      <c r="L29" s="3373"/>
      <c r="M29" s="3324"/>
      <c r="N29" s="3324"/>
      <c r="O29" s="3324"/>
      <c r="P29" s="3965"/>
      <c r="Q29" s="3384">
        <f t="shared" si="8"/>
        <v>111</v>
      </c>
      <c r="R29" s="3385" t="s">
        <v>3705</v>
      </c>
      <c r="S29" s="3386">
        <f t="shared" si="9"/>
        <v>100</v>
      </c>
      <c r="T29" s="3385" t="s">
        <v>3705</v>
      </c>
      <c r="U29" s="3386">
        <f t="shared" si="10"/>
        <v>100</v>
      </c>
      <c r="V29" s="3385" t="s">
        <v>3705</v>
      </c>
      <c r="W29" s="3386">
        <f t="shared" si="11"/>
        <v>100</v>
      </c>
      <c r="X29" s="3325"/>
      <c r="Y29" s="3967"/>
      <c r="Z29" s="3387">
        <f t="shared" si="12"/>
        <v>111</v>
      </c>
      <c r="AA29" s="3388">
        <f t="shared" si="13"/>
        <v>1</v>
      </c>
      <c r="AB29" s="3388">
        <f t="shared" si="14"/>
        <v>1</v>
      </c>
      <c r="AC29" s="3611">
        <f t="shared" si="15"/>
        <v>1</v>
      </c>
    </row>
    <row r="30" spans="1:29" ht="14.25" hidden="1">
      <c r="A30" s="3362"/>
      <c r="B30" s="3621">
        <v>111</v>
      </c>
      <c r="C30" s="3620">
        <v>111</v>
      </c>
      <c r="D30" s="3372">
        <v>100</v>
      </c>
      <c r="E30" s="3368">
        <v>111</v>
      </c>
      <c r="F30" s="3372">
        <f>SUMIF(95:95,E30,96:96)-SUMIF(95:95,C30,96:96)+100</f>
        <v>100</v>
      </c>
      <c r="G30" s="3616">
        <v>111</v>
      </c>
      <c r="H30" s="3372">
        <f>SUMIF(95:95,G30,96:96)-SUMIF(95:95,C30,96:96)+100</f>
        <v>100</v>
      </c>
      <c r="I30" s="3368">
        <v>111</v>
      </c>
      <c r="J30" s="3372">
        <f>SUMIF(95:95,I30,96:96)-SUMIF(95:95,C30,96:96)+100</f>
        <v>100</v>
      </c>
      <c r="K30" s="3371"/>
      <c r="L30" s="3373"/>
      <c r="M30" s="3324"/>
      <c r="N30" s="3324"/>
      <c r="O30" s="3324"/>
      <c r="P30" s="3965"/>
      <c r="Q30" s="3384">
        <f t="shared" si="8"/>
        <v>111</v>
      </c>
      <c r="R30" s="3385" t="s">
        <v>3705</v>
      </c>
      <c r="S30" s="3386">
        <f t="shared" si="9"/>
        <v>100</v>
      </c>
      <c r="T30" s="3385" t="s">
        <v>3705</v>
      </c>
      <c r="U30" s="3386">
        <f t="shared" si="10"/>
        <v>100</v>
      </c>
      <c r="V30" s="3385" t="s">
        <v>3705</v>
      </c>
      <c r="W30" s="3386">
        <f t="shared" si="11"/>
        <v>100</v>
      </c>
      <c r="X30" s="3325"/>
      <c r="Y30" s="3967"/>
      <c r="Z30" s="3387">
        <f t="shared" si="12"/>
        <v>111</v>
      </c>
      <c r="AA30" s="3388">
        <f t="shared" si="13"/>
        <v>1</v>
      </c>
      <c r="AB30" s="3388">
        <f t="shared" si="14"/>
        <v>1</v>
      </c>
      <c r="AC30" s="3611">
        <f t="shared" si="15"/>
        <v>1</v>
      </c>
    </row>
    <row r="31" spans="1:29" ht="14.25" hidden="1">
      <c r="A31" s="3362"/>
      <c r="B31" s="3621">
        <v>111</v>
      </c>
      <c r="C31" s="3620">
        <v>111</v>
      </c>
      <c r="D31" s="3372">
        <v>100</v>
      </c>
      <c r="E31" s="3368">
        <v>111</v>
      </c>
      <c r="F31" s="3372">
        <f>SUMIF(97:97,E31,98:98)-SUMIF(97:97,C31,98:98)+100</f>
        <v>100</v>
      </c>
      <c r="G31" s="3616">
        <v>111</v>
      </c>
      <c r="H31" s="3372">
        <f>SUMIF(97:97,G31,98:98)-SUMIF(97:97,C31,98:98)+100</f>
        <v>100</v>
      </c>
      <c r="I31" s="3368">
        <v>111</v>
      </c>
      <c r="J31" s="3372">
        <f>SUMIF(97:97,I31,98:98)-SUMIF(97:97,C31,98:98)+100</f>
        <v>100</v>
      </c>
      <c r="K31" s="3371"/>
      <c r="L31" s="3373"/>
      <c r="M31" s="3324"/>
      <c r="N31" s="3324"/>
      <c r="O31" s="3324"/>
      <c r="P31" s="3965"/>
      <c r="Q31" s="3384">
        <f t="shared" si="8"/>
        <v>111</v>
      </c>
      <c r="R31" s="3385" t="s">
        <v>3705</v>
      </c>
      <c r="S31" s="3386">
        <f t="shared" si="9"/>
        <v>100</v>
      </c>
      <c r="T31" s="3385" t="s">
        <v>3705</v>
      </c>
      <c r="U31" s="3386">
        <f t="shared" si="10"/>
        <v>100</v>
      </c>
      <c r="V31" s="3385" t="s">
        <v>3705</v>
      </c>
      <c r="W31" s="3386">
        <f t="shared" si="11"/>
        <v>100</v>
      </c>
      <c r="X31" s="3325"/>
      <c r="Y31" s="3967"/>
      <c r="Z31" s="3387">
        <f t="shared" si="12"/>
        <v>111</v>
      </c>
      <c r="AA31" s="3388">
        <f t="shared" si="13"/>
        <v>1</v>
      </c>
      <c r="AB31" s="3388">
        <f t="shared" si="14"/>
        <v>1</v>
      </c>
      <c r="AC31" s="3611">
        <f t="shared" si="15"/>
        <v>1</v>
      </c>
    </row>
    <row r="32" spans="1:29" ht="15" hidden="1" thickBot="1">
      <c r="A32" s="3374"/>
      <c r="B32" s="3619">
        <v>111</v>
      </c>
      <c r="C32" s="3618">
        <v>111</v>
      </c>
      <c r="D32" s="3377">
        <v>100</v>
      </c>
      <c r="E32" s="3617">
        <v>111</v>
      </c>
      <c r="F32" s="3377">
        <f>SUMIF(99:99,E32,100:100)-SUMIF(99:99,C32,100:100)+100</f>
        <v>100</v>
      </c>
      <c r="G32" s="3616">
        <v>111</v>
      </c>
      <c r="H32" s="3377">
        <f>SUMIF(99:99,G32,100:100)-SUMIF(99:99,C32,100:100)+100</f>
        <v>100</v>
      </c>
      <c r="I32" s="3368">
        <v>111</v>
      </c>
      <c r="J32" s="3377">
        <f>SUMIF(99:99,I32,100:100)-SUMIF(99:99,C32,100:100)+100</f>
        <v>100</v>
      </c>
      <c r="K32" s="3371"/>
      <c r="L32" s="3373"/>
      <c r="M32" s="3324"/>
      <c r="N32" s="3324"/>
      <c r="O32" s="3324"/>
      <c r="P32" s="3965"/>
      <c r="Q32" s="3384">
        <f t="shared" si="8"/>
        <v>111</v>
      </c>
      <c r="R32" s="3385" t="s">
        <v>3705</v>
      </c>
      <c r="S32" s="3386">
        <f t="shared" si="9"/>
        <v>100</v>
      </c>
      <c r="T32" s="3385" t="s">
        <v>3705</v>
      </c>
      <c r="U32" s="3386">
        <f t="shared" si="10"/>
        <v>100</v>
      </c>
      <c r="V32" s="3385" t="s">
        <v>3705</v>
      </c>
      <c r="W32" s="3386">
        <f t="shared" si="11"/>
        <v>100</v>
      </c>
      <c r="X32" s="3325"/>
      <c r="Y32" s="3967"/>
      <c r="Z32" s="3387">
        <f t="shared" si="12"/>
        <v>111</v>
      </c>
      <c r="AA32" s="3388">
        <f t="shared" si="13"/>
        <v>1</v>
      </c>
      <c r="AB32" s="3388">
        <f t="shared" si="14"/>
        <v>1</v>
      </c>
      <c r="AC32" s="3611">
        <f t="shared" si="15"/>
        <v>1</v>
      </c>
    </row>
    <row r="33" spans="1:29" ht="15">
      <c r="A33" s="3379" t="s">
        <v>3722</v>
      </c>
      <c r="B33" s="3346" t="s">
        <v>3910</v>
      </c>
      <c r="C33" s="3615" t="s">
        <v>3909</v>
      </c>
      <c r="D33" s="3409">
        <v>100</v>
      </c>
      <c r="E33" s="3615" t="s">
        <v>3909</v>
      </c>
      <c r="F33" s="3405">
        <f>SUMIF(101:101,E33,102:102)-SUMIF(101:101,C33,102:102)+100</f>
        <v>100</v>
      </c>
      <c r="G33" s="3615" t="s">
        <v>3909</v>
      </c>
      <c r="H33" s="3372">
        <f>SUMIF(101:101,G33,102:102)-SUMIF(101:101,C33,102:102)+100</f>
        <v>100</v>
      </c>
      <c r="I33" s="3615" t="s">
        <v>3909</v>
      </c>
      <c r="J33" s="3409">
        <f>SUMIF(101:101,I33,102:102)-SUMIF(101:101,C33,102:102)+100</f>
        <v>100</v>
      </c>
      <c r="K33" s="3358">
        <v>1</v>
      </c>
      <c r="L33" s="3373"/>
      <c r="M33" s="3324"/>
      <c r="N33" s="3324"/>
      <c r="O33" s="3324"/>
      <c r="P33" s="3968" t="s">
        <v>3722</v>
      </c>
      <c r="Q33" s="3384" t="str">
        <f t="shared" si="8"/>
        <v>建筑类型</v>
      </c>
      <c r="R33" s="3385" t="s">
        <v>3705</v>
      </c>
      <c r="S33" s="3386">
        <f t="shared" si="9"/>
        <v>100</v>
      </c>
      <c r="T33" s="3385" t="s">
        <v>3705</v>
      </c>
      <c r="U33" s="3386">
        <f t="shared" si="10"/>
        <v>100</v>
      </c>
      <c r="V33" s="3385" t="s">
        <v>3705</v>
      </c>
      <c r="W33" s="3386">
        <f t="shared" si="11"/>
        <v>100</v>
      </c>
      <c r="X33" s="3325"/>
      <c r="Y33" s="3971" t="s">
        <v>3722</v>
      </c>
      <c r="Z33" s="3387" t="str">
        <f t="shared" si="12"/>
        <v>建筑类型</v>
      </c>
      <c r="AA33" s="3388">
        <f t="shared" si="13"/>
        <v>1</v>
      </c>
      <c r="AB33" s="3388">
        <f t="shared" si="14"/>
        <v>1</v>
      </c>
      <c r="AC33" s="3611">
        <f t="shared" si="15"/>
        <v>1</v>
      </c>
    </row>
    <row r="34" spans="1:29" s="3418" customFormat="1" ht="14.25">
      <c r="A34" s="3410"/>
      <c r="B34" s="3353" t="s">
        <v>3723</v>
      </c>
      <c r="C34" s="3411">
        <v>0</v>
      </c>
      <c r="D34" s="3355">
        <v>100</v>
      </c>
      <c r="E34" s="3364">
        <v>0</v>
      </c>
      <c r="F34" s="3357">
        <f>LOOKUP(E34,104:104,105:105)-LOOKUP(C34,104:104,105:105)+100</f>
        <v>100</v>
      </c>
      <c r="G34" s="3363">
        <v>0</v>
      </c>
      <c r="H34" s="3355">
        <f>LOOKUP(G34,104:104,105:105)-LOOKUP(C34,104:104,105:105)+100</f>
        <v>100</v>
      </c>
      <c r="I34" s="3363">
        <v>0</v>
      </c>
      <c r="J34" s="3355">
        <f>LOOKUP(I34,104:104,105:105)-LOOKUP(C34,104:104,105:105)+100</f>
        <v>100</v>
      </c>
      <c r="K34" s="3371"/>
      <c r="L34" s="3365"/>
      <c r="M34" s="3412"/>
      <c r="N34" s="3412"/>
      <c r="O34" s="3412"/>
      <c r="P34" s="3969"/>
      <c r="Q34" s="3413" t="str">
        <f t="shared" si="8"/>
        <v>项目建筑规模</v>
      </c>
      <c r="R34" s="3414" t="s">
        <v>3705</v>
      </c>
      <c r="S34" s="3415">
        <f t="shared" si="9"/>
        <v>100</v>
      </c>
      <c r="T34" s="3414" t="s">
        <v>3705</v>
      </c>
      <c r="U34" s="3415">
        <f t="shared" si="10"/>
        <v>100</v>
      </c>
      <c r="V34" s="3414" t="s">
        <v>3705</v>
      </c>
      <c r="W34" s="3415">
        <f t="shared" si="11"/>
        <v>100</v>
      </c>
      <c r="X34" s="3416"/>
      <c r="Y34" s="3971"/>
      <c r="Z34" s="3417" t="str">
        <f t="shared" si="12"/>
        <v>项目建筑规模</v>
      </c>
      <c r="AA34" s="3388">
        <f t="shared" si="13"/>
        <v>1</v>
      </c>
      <c r="AB34" s="3388">
        <f t="shared" si="14"/>
        <v>1</v>
      </c>
      <c r="AC34" s="3611">
        <f t="shared" si="15"/>
        <v>1</v>
      </c>
    </row>
    <row r="35" spans="1:29" ht="15">
      <c r="A35" s="3419"/>
      <c r="B35" s="3353" t="s">
        <v>3724</v>
      </c>
      <c r="C35" s="3613" t="s">
        <v>3675</v>
      </c>
      <c r="D35" s="3372">
        <v>100</v>
      </c>
      <c r="E35" s="3613" t="s">
        <v>3675</v>
      </c>
      <c r="F35" s="3405">
        <f>SUMIF(106:106,E35,107:107)-SUMIF(106:106,C35,107:107)+100</f>
        <v>100</v>
      </c>
      <c r="G35" s="3613" t="s">
        <v>3675</v>
      </c>
      <c r="H35" s="3372">
        <f>SUMIF(106:106,G35,107:107)-SUMIF(106:106,C35,107:107)+100</f>
        <v>100</v>
      </c>
      <c r="I35" s="3613" t="s">
        <v>3675</v>
      </c>
      <c r="J35" s="3372">
        <f>SUMIF(106:106,I35,107:107)-SUMIF(106:106,C35,107:107)+100</f>
        <v>100</v>
      </c>
      <c r="K35" s="3358">
        <v>2</v>
      </c>
      <c r="L35" s="3373"/>
      <c r="M35" s="3324"/>
      <c r="N35" s="3324"/>
      <c r="O35" s="3324"/>
      <c r="P35" s="3969"/>
      <c r="Q35" s="3384" t="str">
        <f t="shared" si="8"/>
        <v>建筑结构</v>
      </c>
      <c r="R35" s="3385" t="s">
        <v>3705</v>
      </c>
      <c r="S35" s="3386">
        <f t="shared" si="9"/>
        <v>100</v>
      </c>
      <c r="T35" s="3385" t="s">
        <v>3705</v>
      </c>
      <c r="U35" s="3386">
        <f t="shared" si="10"/>
        <v>100</v>
      </c>
      <c r="V35" s="3385" t="s">
        <v>3705</v>
      </c>
      <c r="W35" s="3386">
        <f t="shared" si="11"/>
        <v>100</v>
      </c>
      <c r="X35" s="3325"/>
      <c r="Y35" s="3971"/>
      <c r="Z35" s="3387" t="str">
        <f t="shared" si="12"/>
        <v>建筑结构</v>
      </c>
      <c r="AA35" s="3388">
        <f t="shared" si="13"/>
        <v>1</v>
      </c>
      <c r="AB35" s="3388">
        <f t="shared" si="14"/>
        <v>1</v>
      </c>
      <c r="AC35" s="3611">
        <f t="shared" si="15"/>
        <v>1</v>
      </c>
    </row>
    <row r="36" spans="1:29" ht="15">
      <c r="A36" s="3419"/>
      <c r="B36" s="3353" t="s">
        <v>3725</v>
      </c>
      <c r="C36" s="3613" t="s">
        <v>3726</v>
      </c>
      <c r="D36" s="3372">
        <v>100</v>
      </c>
      <c r="E36" s="3613" t="s">
        <v>3726</v>
      </c>
      <c r="F36" s="3405">
        <f>SUMIF(108:108,E36,109:109)-SUMIF(108:108,C36,109:109)+100</f>
        <v>100</v>
      </c>
      <c r="G36" s="3613" t="s">
        <v>3726</v>
      </c>
      <c r="H36" s="3372">
        <f>SUMIF(108:108,G36,109:109)-SUMIF(108:108,C36,109:109)+100</f>
        <v>100</v>
      </c>
      <c r="I36" s="3613" t="s">
        <v>3726</v>
      </c>
      <c r="J36" s="3372">
        <f>SUMIF(108:108,I36,109:109)-SUMIF(108:108,C36,109:109)+100</f>
        <v>100</v>
      </c>
      <c r="K36" s="3358">
        <v>1</v>
      </c>
      <c r="L36" s="3373"/>
      <c r="M36" s="3324"/>
      <c r="N36" s="3324"/>
      <c r="O36" s="3324"/>
      <c r="P36" s="3969"/>
      <c r="Q36" s="3384" t="str">
        <f t="shared" si="8"/>
        <v>公共部分装修</v>
      </c>
      <c r="R36" s="3385" t="s">
        <v>3705</v>
      </c>
      <c r="S36" s="3386">
        <f t="shared" si="9"/>
        <v>100</v>
      </c>
      <c r="T36" s="3385" t="s">
        <v>3705</v>
      </c>
      <c r="U36" s="3386">
        <f t="shared" si="10"/>
        <v>100</v>
      </c>
      <c r="V36" s="3385" t="s">
        <v>3705</v>
      </c>
      <c r="W36" s="3386">
        <f t="shared" si="11"/>
        <v>100</v>
      </c>
      <c r="X36" s="3325"/>
      <c r="Y36" s="3971"/>
      <c r="Z36" s="3387" t="str">
        <f t="shared" si="12"/>
        <v>公共部分装修</v>
      </c>
      <c r="AA36" s="3388">
        <f t="shared" si="13"/>
        <v>1</v>
      </c>
      <c r="AB36" s="3388">
        <f t="shared" si="14"/>
        <v>1</v>
      </c>
      <c r="AC36" s="3611">
        <f t="shared" si="15"/>
        <v>1</v>
      </c>
    </row>
    <row r="37" spans="1:29" ht="15">
      <c r="A37" s="3419"/>
      <c r="B37" s="3353" t="s">
        <v>3727</v>
      </c>
      <c r="C37" s="3421">
        <v>1</v>
      </c>
      <c r="D37" s="3372">
        <v>100</v>
      </c>
      <c r="E37" s="3421">
        <v>0.95</v>
      </c>
      <c r="F37" s="3405">
        <f>LOOKUP(E37,111:111,112:112)-LOOKUP(C37,111:111,112:112)+100</f>
        <v>100</v>
      </c>
      <c r="G37" s="3421">
        <v>0.9</v>
      </c>
      <c r="H37" s="3405">
        <f>LOOKUP(G37,111:111,112:112)-LOOKUP(C37,111:111,112:112)+100</f>
        <v>100</v>
      </c>
      <c r="I37" s="3421">
        <v>0.95</v>
      </c>
      <c r="J37" s="3372">
        <f>LOOKUP(I37,111:111,112:112)-LOOKUP(C37,111:111,112:112)+100</f>
        <v>100</v>
      </c>
      <c r="K37" s="3358">
        <v>1</v>
      </c>
      <c r="L37" s="3373"/>
      <c r="M37" s="3324"/>
      <c r="N37" s="3324"/>
      <c r="O37" s="3324"/>
      <c r="P37" s="3969"/>
      <c r="Q37" s="3384" t="str">
        <f t="shared" si="8"/>
        <v>成新度</v>
      </c>
      <c r="R37" s="3385" t="s">
        <v>3705</v>
      </c>
      <c r="S37" s="3386">
        <f t="shared" si="9"/>
        <v>100</v>
      </c>
      <c r="T37" s="3385" t="s">
        <v>3705</v>
      </c>
      <c r="U37" s="3386">
        <f t="shared" si="10"/>
        <v>100</v>
      </c>
      <c r="V37" s="3385" t="s">
        <v>3705</v>
      </c>
      <c r="W37" s="3386">
        <f t="shared" si="11"/>
        <v>100</v>
      </c>
      <c r="X37" s="3325"/>
      <c r="Y37" s="3971"/>
      <c r="Z37" s="3387" t="str">
        <f t="shared" si="12"/>
        <v>成新度</v>
      </c>
      <c r="AA37" s="3388">
        <f t="shared" si="13"/>
        <v>1</v>
      </c>
      <c r="AB37" s="3388">
        <f t="shared" si="14"/>
        <v>1</v>
      </c>
      <c r="AC37" s="3611">
        <f t="shared" si="15"/>
        <v>1</v>
      </c>
    </row>
    <row r="38" spans="1:29" s="3343" customFormat="1" ht="15">
      <c r="A38" s="3422"/>
      <c r="B38" s="3353" t="s">
        <v>3908</v>
      </c>
      <c r="C38" s="3613" t="s">
        <v>3907</v>
      </c>
      <c r="D38" s="3355">
        <v>100</v>
      </c>
      <c r="E38" s="3613" t="s">
        <v>3907</v>
      </c>
      <c r="F38" s="3405">
        <f>SUMIF(113:113,E38,114:114)-SUMIF(113:113,C38,114:114)+100</f>
        <v>100</v>
      </c>
      <c r="G38" s="3613" t="s">
        <v>3907</v>
      </c>
      <c r="H38" s="3372">
        <f>SUMIF(113:113,G38,114:114)-SUMIF(113:113,C38,114:114)+100</f>
        <v>100</v>
      </c>
      <c r="I38" s="3613" t="s">
        <v>3907</v>
      </c>
      <c r="J38" s="3372">
        <f>SUMIF(113:113,I38,114:114)-SUMIF(113:113,C38,114:114)+100</f>
        <v>100</v>
      </c>
      <c r="K38" s="3358">
        <v>4</v>
      </c>
      <c r="L38" s="3337"/>
      <c r="M38" s="3338"/>
      <c r="N38" s="3338"/>
      <c r="O38" s="3338"/>
      <c r="P38" s="3969"/>
      <c r="Q38" s="3350" t="str">
        <f t="shared" si="8"/>
        <v>写字楼等级</v>
      </c>
      <c r="R38" s="3339" t="s">
        <v>3705</v>
      </c>
      <c r="S38" s="3340">
        <f t="shared" si="9"/>
        <v>100</v>
      </c>
      <c r="T38" s="3339" t="s">
        <v>3705</v>
      </c>
      <c r="U38" s="3340">
        <f t="shared" si="10"/>
        <v>100</v>
      </c>
      <c r="V38" s="3339" t="s">
        <v>3705</v>
      </c>
      <c r="W38" s="3340">
        <f t="shared" si="11"/>
        <v>100</v>
      </c>
      <c r="X38" s="3341"/>
      <c r="Y38" s="3971"/>
      <c r="Z38" s="3351" t="str">
        <f t="shared" si="12"/>
        <v>写字楼等级</v>
      </c>
      <c r="AA38" s="3342">
        <f t="shared" si="13"/>
        <v>1</v>
      </c>
      <c r="AB38" s="3342">
        <f t="shared" si="14"/>
        <v>1</v>
      </c>
      <c r="AC38" s="3612">
        <f t="shared" si="15"/>
        <v>1</v>
      </c>
    </row>
    <row r="39" spans="1:29" ht="15">
      <c r="A39" s="3419"/>
      <c r="B39" s="3353" t="s">
        <v>3906</v>
      </c>
      <c r="C39" s="3613" t="s">
        <v>3929</v>
      </c>
      <c r="D39" s="3372">
        <v>100</v>
      </c>
      <c r="E39" s="3613" t="s">
        <v>3905</v>
      </c>
      <c r="F39" s="3405">
        <f>SUMIF(115:115,E39,116:116)-SUMIF(115:115,C39,116:116)+100</f>
        <v>97</v>
      </c>
      <c r="G39" s="3613" t="s">
        <v>3905</v>
      </c>
      <c r="H39" s="3372">
        <f>SUMIF(115:115,G39,116:116)-SUMIF(115:115,C39,116:116)+100</f>
        <v>97</v>
      </c>
      <c r="I39" s="3613" t="s">
        <v>3905</v>
      </c>
      <c r="J39" s="3372">
        <f>SUMIF(115:115,I39,116:116)-SUMIF(115:115,C39,116:116)+100</f>
        <v>97</v>
      </c>
      <c r="K39" s="3358">
        <v>3</v>
      </c>
      <c r="L39" s="3373"/>
      <c r="M39" s="3324"/>
      <c r="N39" s="3324"/>
      <c r="O39" s="3324"/>
      <c r="P39" s="3969" t="s">
        <v>3904</v>
      </c>
      <c r="Q39" s="3384" t="str">
        <f t="shared" si="8"/>
        <v>物业管理</v>
      </c>
      <c r="R39" s="3385" t="s">
        <v>3898</v>
      </c>
      <c r="S39" s="3386">
        <f t="shared" si="9"/>
        <v>97</v>
      </c>
      <c r="T39" s="3385" t="s">
        <v>3898</v>
      </c>
      <c r="U39" s="3386">
        <f t="shared" si="10"/>
        <v>97</v>
      </c>
      <c r="V39" s="3385" t="s">
        <v>3898</v>
      </c>
      <c r="W39" s="3386">
        <f t="shared" si="11"/>
        <v>97</v>
      </c>
      <c r="X39" s="3325"/>
      <c r="Y39" s="3971" t="s">
        <v>3904</v>
      </c>
      <c r="Z39" s="3387" t="str">
        <f t="shared" si="12"/>
        <v>物业管理</v>
      </c>
      <c r="AA39" s="3388">
        <f t="shared" si="13"/>
        <v>1.0309278350515463</v>
      </c>
      <c r="AB39" s="3388">
        <f t="shared" si="14"/>
        <v>1.0309278350515463</v>
      </c>
      <c r="AC39" s="3611">
        <f t="shared" si="15"/>
        <v>1.0309278350515463</v>
      </c>
    </row>
    <row r="40" spans="1:29" ht="15">
      <c r="A40" s="3419"/>
      <c r="B40" s="3353" t="s">
        <v>3846</v>
      </c>
      <c r="C40" s="3613" t="s">
        <v>3718</v>
      </c>
      <c r="D40" s="3372">
        <v>100</v>
      </c>
      <c r="E40" s="3613" t="s">
        <v>3903</v>
      </c>
      <c r="F40" s="3405">
        <f>SUMIF(117:117,E40,118:118)-SUMIF(117:117,C40,118:118)+100</f>
        <v>99</v>
      </c>
      <c r="G40" s="3613" t="s">
        <v>3903</v>
      </c>
      <c r="H40" s="3372">
        <f>SUMIF(117:117,G40,118:118)-SUMIF(117:117,C40,118:118)+100</f>
        <v>99</v>
      </c>
      <c r="I40" s="3613" t="s">
        <v>3903</v>
      </c>
      <c r="J40" s="3372">
        <f>SUMIF(117:117,I40,118:118)-SUMIF(117:117,C40,118:118)+100</f>
        <v>99</v>
      </c>
      <c r="K40" s="3358">
        <v>1</v>
      </c>
      <c r="L40" s="3373"/>
      <c r="M40" s="3324"/>
      <c r="N40" s="3324"/>
      <c r="O40" s="3324"/>
      <c r="P40" s="3969"/>
      <c r="Q40" s="3384" t="str">
        <f t="shared" si="8"/>
        <v>市政基础设施</v>
      </c>
      <c r="R40" s="3385" t="s">
        <v>3898</v>
      </c>
      <c r="S40" s="3386">
        <f t="shared" si="9"/>
        <v>99</v>
      </c>
      <c r="T40" s="3385" t="s">
        <v>3898</v>
      </c>
      <c r="U40" s="3386">
        <f t="shared" si="10"/>
        <v>99</v>
      </c>
      <c r="V40" s="3385" t="s">
        <v>3898</v>
      </c>
      <c r="W40" s="3386">
        <f t="shared" si="11"/>
        <v>99</v>
      </c>
      <c r="X40" s="3325"/>
      <c r="Y40" s="3971"/>
      <c r="Z40" s="3387" t="str">
        <f t="shared" si="12"/>
        <v>市政基础设施</v>
      </c>
      <c r="AA40" s="3388">
        <f t="shared" si="13"/>
        <v>1.0101010101010102</v>
      </c>
      <c r="AB40" s="3388">
        <f t="shared" si="14"/>
        <v>1.0101010101010102</v>
      </c>
      <c r="AC40" s="3611">
        <f t="shared" si="15"/>
        <v>1.0101010101010102</v>
      </c>
    </row>
    <row r="41" spans="1:29" ht="15">
      <c r="A41" s="3419"/>
      <c r="B41" s="3353" t="s">
        <v>3902</v>
      </c>
      <c r="C41" s="3404" t="s">
        <v>3729</v>
      </c>
      <c r="D41" s="3372">
        <v>100</v>
      </c>
      <c r="E41" s="3404" t="s">
        <v>3729</v>
      </c>
      <c r="F41" s="3405">
        <f>SUMIF(119:119,E41,120:120)-SUMIF(119:119,C41,120:120)+100</f>
        <v>100</v>
      </c>
      <c r="G41" s="3404" t="s">
        <v>3729</v>
      </c>
      <c r="H41" s="3372">
        <f>SUMIF(119:119,G41,120:120)-SUMIF(119:119,C41,120:120)+100</f>
        <v>100</v>
      </c>
      <c r="I41" s="3404" t="s">
        <v>3729</v>
      </c>
      <c r="J41" s="3372">
        <f>SUMIF(119:119,I41,120:120)-SUMIF(119:119,C41,120:120)+100</f>
        <v>100</v>
      </c>
      <c r="K41" s="3358">
        <v>1.5</v>
      </c>
      <c r="L41" s="3373"/>
      <c r="M41" s="3324"/>
      <c r="N41" s="3324"/>
      <c r="O41" s="3324"/>
      <c r="P41" s="3969"/>
      <c r="Q41" s="3384" t="str">
        <f t="shared" si="8"/>
        <v>层高</v>
      </c>
      <c r="R41" s="3385" t="s">
        <v>3898</v>
      </c>
      <c r="S41" s="3386">
        <f t="shared" si="9"/>
        <v>100</v>
      </c>
      <c r="T41" s="3385" t="s">
        <v>3898</v>
      </c>
      <c r="U41" s="3386">
        <f t="shared" si="10"/>
        <v>100</v>
      </c>
      <c r="V41" s="3385" t="s">
        <v>3898</v>
      </c>
      <c r="W41" s="3386">
        <f t="shared" si="11"/>
        <v>100</v>
      </c>
      <c r="X41" s="3325"/>
      <c r="Y41" s="3971"/>
      <c r="Z41" s="3387" t="str">
        <f t="shared" si="12"/>
        <v>层高</v>
      </c>
      <c r="AA41" s="3388">
        <f t="shared" si="13"/>
        <v>1</v>
      </c>
      <c r="AB41" s="3388">
        <f t="shared" si="14"/>
        <v>1</v>
      </c>
      <c r="AC41" s="3611">
        <f t="shared" si="15"/>
        <v>1</v>
      </c>
    </row>
    <row r="42" spans="1:29" s="3418" customFormat="1" ht="14.25">
      <c r="A42" s="3410"/>
      <c r="B42" s="3423" t="s">
        <v>3837</v>
      </c>
      <c r="C42" s="3614"/>
      <c r="D42" s="3372">
        <v>100</v>
      </c>
      <c r="E42" s="3614">
        <v>155</v>
      </c>
      <c r="F42" s="3405">
        <f>SUMIF(121:121,E42,122:122)-SUMIF(121:121,C42,122:122)+100</f>
        <v>100</v>
      </c>
      <c r="G42" s="3614">
        <v>900</v>
      </c>
      <c r="H42" s="3372">
        <f>SUMIF(121:121,G42,122:122)-SUMIF(121:121,C42,122:122)+100</f>
        <v>100</v>
      </c>
      <c r="I42" s="3614">
        <v>85</v>
      </c>
      <c r="J42" s="3372">
        <f>SUMIF(121:121,I42,122:122)-SUMIF(121:121,C42,122:122)+100</f>
        <v>100</v>
      </c>
      <c r="K42" s="3371"/>
      <c r="L42" s="3365"/>
      <c r="M42" s="3412"/>
      <c r="N42" s="3412"/>
      <c r="O42" s="3412"/>
      <c r="P42" s="3969"/>
      <c r="Q42" s="3413" t="str">
        <f t="shared" si="8"/>
        <v>单套建筑面积</v>
      </c>
      <c r="R42" s="3414" t="s">
        <v>3898</v>
      </c>
      <c r="S42" s="3415">
        <f t="shared" si="9"/>
        <v>100</v>
      </c>
      <c r="T42" s="3414" t="s">
        <v>3898</v>
      </c>
      <c r="U42" s="3415">
        <f t="shared" si="10"/>
        <v>100</v>
      </c>
      <c r="V42" s="3414" t="s">
        <v>3898</v>
      </c>
      <c r="W42" s="3415">
        <f t="shared" si="11"/>
        <v>100</v>
      </c>
      <c r="X42" s="3416"/>
      <c r="Y42" s="3971"/>
      <c r="Z42" s="3417" t="str">
        <f t="shared" si="12"/>
        <v>单套建筑面积</v>
      </c>
      <c r="AA42" s="3388">
        <f t="shared" si="13"/>
        <v>1</v>
      </c>
      <c r="AB42" s="3388">
        <f t="shared" si="14"/>
        <v>1</v>
      </c>
      <c r="AC42" s="3611">
        <f t="shared" si="15"/>
        <v>1</v>
      </c>
    </row>
    <row r="43" spans="1:29" ht="15">
      <c r="A43" s="3419"/>
      <c r="B43" s="3353" t="s">
        <v>3901</v>
      </c>
      <c r="C43" s="3613" t="s">
        <v>3783</v>
      </c>
      <c r="D43" s="3372">
        <v>100</v>
      </c>
      <c r="E43" s="3613" t="s">
        <v>3732</v>
      </c>
      <c r="F43" s="3405">
        <f>SUMIF(123:123,E43,124:124)-SUMIF(123:123,C43,124:124)+100</f>
        <v>101</v>
      </c>
      <c r="G43" s="3613" t="s">
        <v>3732</v>
      </c>
      <c r="H43" s="3372">
        <f>SUMIF(123:123,G43,124:124)-SUMIF(123:123,C43,124:124)+100</f>
        <v>101</v>
      </c>
      <c r="I43" s="3613" t="s">
        <v>3732</v>
      </c>
      <c r="J43" s="3372">
        <f>SUMIF(123:123,I43,124:124)-SUMIF(123:123,C43,124:124)+100</f>
        <v>101</v>
      </c>
      <c r="K43" s="3358">
        <v>1</v>
      </c>
      <c r="L43" s="3373"/>
      <c r="M43" s="3324"/>
      <c r="N43" s="3324"/>
      <c r="O43" s="3324"/>
      <c r="P43" s="3969"/>
      <c r="Q43" s="3384" t="str">
        <f t="shared" si="8"/>
        <v>内部装修</v>
      </c>
      <c r="R43" s="3385" t="s">
        <v>3899</v>
      </c>
      <c r="S43" s="3386">
        <f t="shared" si="9"/>
        <v>101</v>
      </c>
      <c r="T43" s="3385" t="s">
        <v>3898</v>
      </c>
      <c r="U43" s="3386">
        <f t="shared" si="10"/>
        <v>101</v>
      </c>
      <c r="V43" s="3385" t="s">
        <v>3898</v>
      </c>
      <c r="W43" s="3386">
        <f t="shared" si="11"/>
        <v>101</v>
      </c>
      <c r="X43" s="3325"/>
      <c r="Y43" s="3971"/>
      <c r="Z43" s="3387" t="str">
        <f t="shared" si="12"/>
        <v>内部装修</v>
      </c>
      <c r="AA43" s="3388">
        <f t="shared" si="13"/>
        <v>0.99009900990099009</v>
      </c>
      <c r="AB43" s="3388">
        <f t="shared" si="14"/>
        <v>0.99009900990099009</v>
      </c>
      <c r="AC43" s="3611">
        <f t="shared" si="15"/>
        <v>0.99009900990099009</v>
      </c>
    </row>
    <row r="44" spans="1:29" ht="27">
      <c r="A44" s="3419"/>
      <c r="B44" s="3353" t="s">
        <v>3733</v>
      </c>
      <c r="C44" s="3613" t="s">
        <v>3205</v>
      </c>
      <c r="D44" s="3372">
        <v>100</v>
      </c>
      <c r="E44" s="3420" t="s">
        <v>3205</v>
      </c>
      <c r="F44" s="3405">
        <f>SUMIF(125:125,E44,126:126)-SUMIF(125:125,C44,126:126)+100</f>
        <v>100</v>
      </c>
      <c r="G44" s="3420" t="s">
        <v>3205</v>
      </c>
      <c r="H44" s="3372">
        <f>SUMIF(125:125,G44,126:126)-SUMIF(125:125,C44,126:126)+100</f>
        <v>100</v>
      </c>
      <c r="I44" s="3420" t="s">
        <v>3205</v>
      </c>
      <c r="J44" s="3372">
        <f>SUMIF(125:125,I44,126:126)-SUMIF(125:125,C44,126:126)+100</f>
        <v>100</v>
      </c>
      <c r="K44" s="3358">
        <v>2</v>
      </c>
      <c r="L44" s="3373"/>
      <c r="M44" s="3324"/>
      <c r="N44" s="3324"/>
      <c r="O44" s="3324"/>
      <c r="P44" s="3969"/>
      <c r="Q44" s="3384" t="str">
        <f t="shared" si="8"/>
        <v>内部装修维护情况</v>
      </c>
      <c r="R44" s="3385" t="s">
        <v>3898</v>
      </c>
      <c r="S44" s="3386">
        <f t="shared" si="9"/>
        <v>100</v>
      </c>
      <c r="T44" s="3385" t="s">
        <v>3898</v>
      </c>
      <c r="U44" s="3386">
        <f t="shared" si="10"/>
        <v>100</v>
      </c>
      <c r="V44" s="3385" t="s">
        <v>3898</v>
      </c>
      <c r="W44" s="3386">
        <f t="shared" si="11"/>
        <v>100</v>
      </c>
      <c r="X44" s="3325"/>
      <c r="Y44" s="3971"/>
      <c r="Z44" s="3387" t="str">
        <f t="shared" si="12"/>
        <v>内部装修维护情况</v>
      </c>
      <c r="AA44" s="3388">
        <f t="shared" si="13"/>
        <v>1</v>
      </c>
      <c r="AB44" s="3388">
        <f t="shared" si="14"/>
        <v>1</v>
      </c>
      <c r="AC44" s="3611">
        <f t="shared" si="15"/>
        <v>1</v>
      </c>
    </row>
    <row r="45" spans="1:29" s="3343" customFormat="1" ht="14.25">
      <c r="A45" s="3422"/>
      <c r="B45" s="3406" t="s">
        <v>3945</v>
      </c>
      <c r="C45" s="3424" t="s">
        <v>3946</v>
      </c>
      <c r="D45" s="3355">
        <v>100</v>
      </c>
      <c r="E45" s="3368" t="s">
        <v>3947</v>
      </c>
      <c r="F45" s="3357">
        <f>SUMIF(127:127,E45,128:128)-SUMIF(127:127,C45,128:128)+100</f>
        <v>95</v>
      </c>
      <c r="G45" s="3368" t="s">
        <v>3947</v>
      </c>
      <c r="H45" s="3355">
        <f>SUMIF(127:127,G45,128:128)-SUMIF(127:127,C45,128:128)+100</f>
        <v>95</v>
      </c>
      <c r="I45" s="3368" t="s">
        <v>3947</v>
      </c>
      <c r="J45" s="3355">
        <f>SUMIF(127:127,I45,128:128)-SUMIF(127:127,C45,128:128)+100</f>
        <v>95</v>
      </c>
      <c r="K45" s="3371"/>
      <c r="L45" s="3337"/>
      <c r="M45" s="3338"/>
      <c r="N45" s="3338"/>
      <c r="O45" s="3338"/>
      <c r="P45" s="3969"/>
      <c r="Q45" s="3350" t="str">
        <f t="shared" si="8"/>
        <v>智能环保系统</v>
      </c>
      <c r="R45" s="3339" t="s">
        <v>3900</v>
      </c>
      <c r="S45" s="3340">
        <f t="shared" si="9"/>
        <v>95</v>
      </c>
      <c r="T45" s="3339" t="s">
        <v>3899</v>
      </c>
      <c r="U45" s="3340">
        <f t="shared" si="10"/>
        <v>95</v>
      </c>
      <c r="V45" s="3339" t="s">
        <v>3898</v>
      </c>
      <c r="W45" s="3340">
        <f t="shared" si="11"/>
        <v>95</v>
      </c>
      <c r="X45" s="3341"/>
      <c r="Y45" s="3971"/>
      <c r="Z45" s="3351" t="str">
        <f t="shared" si="12"/>
        <v>智能环保系统</v>
      </c>
      <c r="AA45" s="3342">
        <f t="shared" si="13"/>
        <v>1.0526315789473684</v>
      </c>
      <c r="AB45" s="3342">
        <f t="shared" si="14"/>
        <v>1.0526315789473684</v>
      </c>
      <c r="AC45" s="3612">
        <f t="shared" si="15"/>
        <v>1.0526315789473684</v>
      </c>
    </row>
    <row r="46" spans="1:29" ht="14.25">
      <c r="A46" s="3419"/>
      <c r="B46" s="3406">
        <v>111</v>
      </c>
      <c r="C46" s="3370">
        <v>111</v>
      </c>
      <c r="D46" s="3372">
        <v>100</v>
      </c>
      <c r="E46" s="3368">
        <v>111</v>
      </c>
      <c r="F46" s="3405">
        <f>SUMIF(129:129,E46,130:130)-SUMIF(129:129,C46,130:130)+100</f>
        <v>100</v>
      </c>
      <c r="G46" s="3368">
        <v>111</v>
      </c>
      <c r="H46" s="3372">
        <f>SUMIF(129:129,G46,130:130)-SUMIF(129:129,C46,130:130)+100</f>
        <v>100</v>
      </c>
      <c r="I46" s="3368">
        <v>111</v>
      </c>
      <c r="J46" s="3372">
        <f>SUMIF(129:129,I46,130:130)-SUMIF(129:129,C46,130:130)+100</f>
        <v>100</v>
      </c>
      <c r="K46" s="3371"/>
      <c r="L46" s="3373"/>
      <c r="M46" s="3324"/>
      <c r="N46" s="3324"/>
      <c r="O46" s="3324"/>
      <c r="P46" s="3969"/>
      <c r="Q46" s="3384">
        <f t="shared" si="8"/>
        <v>111</v>
      </c>
      <c r="R46" s="3385" t="s">
        <v>3898</v>
      </c>
      <c r="S46" s="3386">
        <f t="shared" si="9"/>
        <v>100</v>
      </c>
      <c r="T46" s="3385" t="s">
        <v>3898</v>
      </c>
      <c r="U46" s="3386">
        <f t="shared" si="10"/>
        <v>100</v>
      </c>
      <c r="V46" s="3385" t="s">
        <v>20</v>
      </c>
      <c r="W46" s="3386">
        <f t="shared" si="11"/>
        <v>100</v>
      </c>
      <c r="X46" s="3325"/>
      <c r="Y46" s="3971"/>
      <c r="Z46" s="3387">
        <f t="shared" si="12"/>
        <v>111</v>
      </c>
      <c r="AA46" s="3388">
        <f t="shared" si="13"/>
        <v>1</v>
      </c>
      <c r="AB46" s="3388">
        <f t="shared" si="14"/>
        <v>1</v>
      </c>
      <c r="AC46" s="3611">
        <f t="shared" si="15"/>
        <v>1</v>
      </c>
    </row>
    <row r="47" spans="1:29" ht="15" thickBot="1">
      <c r="A47" s="3425"/>
      <c r="B47" s="3375">
        <v>111</v>
      </c>
      <c r="C47" s="3376">
        <v>111</v>
      </c>
      <c r="D47" s="3377">
        <v>100</v>
      </c>
      <c r="E47" s="3368">
        <v>111</v>
      </c>
      <c r="F47" s="3378">
        <f>SUMIF(131:131,E47,132:132)-SUMIF(131:131,C47,132:132)+100</f>
        <v>100</v>
      </c>
      <c r="G47" s="3368">
        <v>111</v>
      </c>
      <c r="H47" s="3377">
        <f>SUMIF(131:131,G47,132:132)-SUMIF(131:131,C47,132:132)+100</f>
        <v>100</v>
      </c>
      <c r="I47" s="3368">
        <v>111</v>
      </c>
      <c r="J47" s="3377">
        <f>SUMIF(131:131,I47,132:132)-SUMIF(131:131,C47,132:132)+100</f>
        <v>100</v>
      </c>
      <c r="K47" s="3371"/>
      <c r="L47" s="3373"/>
      <c r="M47" s="3324"/>
      <c r="N47" s="3324"/>
      <c r="O47" s="3324"/>
      <c r="P47" s="3970"/>
      <c r="Q47" s="3384">
        <f t="shared" si="8"/>
        <v>111</v>
      </c>
      <c r="R47" s="3385" t="s">
        <v>3897</v>
      </c>
      <c r="S47" s="3386">
        <f t="shared" si="9"/>
        <v>100</v>
      </c>
      <c r="T47" s="3385" t="s">
        <v>3897</v>
      </c>
      <c r="U47" s="3386">
        <f t="shared" si="10"/>
        <v>100</v>
      </c>
      <c r="V47" s="3385" t="s">
        <v>3896</v>
      </c>
      <c r="W47" s="3386">
        <f t="shared" si="11"/>
        <v>100</v>
      </c>
      <c r="X47" s="3325"/>
      <c r="Y47" s="3972"/>
      <c r="Z47" s="3387">
        <f t="shared" si="12"/>
        <v>111</v>
      </c>
      <c r="AA47" s="3388">
        <f t="shared" si="13"/>
        <v>1</v>
      </c>
      <c r="AB47" s="3388">
        <f t="shared" si="14"/>
        <v>1</v>
      </c>
      <c r="AC47" s="3611">
        <f t="shared" si="15"/>
        <v>1</v>
      </c>
    </row>
    <row r="48" spans="1:29" ht="15">
      <c r="A48" s="3426" t="s">
        <v>3895</v>
      </c>
      <c r="B48" s="3427"/>
      <c r="C48" s="3428" t="s">
        <v>3894</v>
      </c>
      <c r="D48" s="3429"/>
      <c r="E48" s="3430">
        <v>5.0999999999999996</v>
      </c>
      <c r="F48" s="3431"/>
      <c r="G48" s="3432">
        <v>5.9</v>
      </c>
      <c r="H48" s="3433"/>
      <c r="I48" s="3430">
        <v>5.8</v>
      </c>
      <c r="J48" s="3610"/>
      <c r="K48" s="3434"/>
      <c r="L48" s="3435"/>
      <c r="M48" s="3324"/>
      <c r="N48" s="3324"/>
      <c r="O48" s="3324"/>
      <c r="P48" s="3958" t="str">
        <f>A48</f>
        <v>成交单价（元/平方米）</v>
      </c>
      <c r="Q48" s="3959"/>
      <c r="R48" s="3960">
        <f>E48</f>
        <v>5.0999999999999996</v>
      </c>
      <c r="S48" s="3960"/>
      <c r="T48" s="3960">
        <f>G48</f>
        <v>5.9</v>
      </c>
      <c r="U48" s="3960"/>
      <c r="V48" s="3960">
        <f>I48</f>
        <v>5.8</v>
      </c>
      <c r="W48" s="3960"/>
      <c r="X48" s="3389"/>
      <c r="Y48" s="3438"/>
      <c r="Z48" s="3389"/>
      <c r="AA48" s="3389"/>
      <c r="AB48" s="3389"/>
      <c r="AC48" s="3608"/>
    </row>
    <row r="49" spans="1:29" ht="15.75" thickBot="1">
      <c r="A49" s="3439" t="s">
        <v>3893</v>
      </c>
      <c r="B49" s="3440"/>
      <c r="C49" s="3441">
        <f>R50</f>
        <v>6.6</v>
      </c>
      <c r="D49" s="3442"/>
      <c r="E49" s="3443">
        <f>R49</f>
        <v>6</v>
      </c>
      <c r="F49" s="3443"/>
      <c r="G49" s="3441">
        <f>T49</f>
        <v>6.9</v>
      </c>
      <c r="H49" s="3442"/>
      <c r="I49" s="3443">
        <f>V49</f>
        <v>6.8</v>
      </c>
      <c r="J49" s="3609"/>
      <c r="K49" s="3444"/>
      <c r="L49" s="3435"/>
      <c r="M49" s="3324"/>
      <c r="N49" s="3324"/>
      <c r="O49" s="3324"/>
      <c r="P49" s="3958" t="str">
        <f>A49</f>
        <v>比较价值（元/平方米）</v>
      </c>
      <c r="Q49" s="3959"/>
      <c r="R49" s="3960">
        <f>IF(F1="售价",ROUND(PRODUCT(R48,AA7:AA47),0),ROUND(PRODUCT(R48,AA7:AA47),1))</f>
        <v>6</v>
      </c>
      <c r="S49" s="3960"/>
      <c r="T49" s="3960">
        <f>IF(F1="售价",ROUND(PRODUCT(T48,AB7:AB47),0),ROUND(PRODUCT(T48,AB7:AB47),1))</f>
        <v>6.9</v>
      </c>
      <c r="U49" s="3960"/>
      <c r="V49" s="3960">
        <f>IF(F1="售价",ROUND(PRODUCT(V48,AC7:AC47),0),ROUND(PRODUCT(V48,AC7:AC47),1))</f>
        <v>6.8</v>
      </c>
      <c r="W49" s="3960"/>
      <c r="X49" s="3389"/>
      <c r="Y49" s="3389"/>
      <c r="Z49" s="3389"/>
      <c r="AA49" s="3389"/>
      <c r="AB49" s="3389"/>
      <c r="AC49" s="3608"/>
    </row>
    <row r="50" spans="1:29" ht="15.75" thickBot="1">
      <c r="A50" s="3445" t="s">
        <v>3892</v>
      </c>
      <c r="B50" s="3446"/>
      <c r="C50" s="3447">
        <f>R50</f>
        <v>6.6</v>
      </c>
      <c r="D50" s="3447"/>
      <c r="E50" s="3447"/>
      <c r="F50" s="3447"/>
      <c r="G50" s="3447"/>
      <c r="H50" s="3447"/>
      <c r="I50" s="3447"/>
      <c r="J50" s="3607"/>
      <c r="K50" s="3448"/>
      <c r="L50" s="3435"/>
      <c r="M50" s="3324"/>
      <c r="N50" s="3324"/>
      <c r="O50" s="3324"/>
      <c r="P50" s="3961" t="str">
        <f>A50</f>
        <v>估价对象办公用房的比较价值（楼面单价，元/平方米）</v>
      </c>
      <c r="Q50" s="3962"/>
      <c r="R50" s="3963">
        <f>IF(F1="售价",ROUND(AVERAGE(R49:V49),0),ROUND(AVERAGE(R49:V49),1))</f>
        <v>6.6</v>
      </c>
      <c r="S50" s="3963"/>
      <c r="T50" s="3963"/>
      <c r="U50" s="3963"/>
      <c r="V50" s="3963"/>
      <c r="W50" s="3963"/>
      <c r="X50" s="3606"/>
      <c r="Y50" s="3606"/>
      <c r="Z50" s="3606"/>
      <c r="AA50" s="3606"/>
      <c r="AB50" s="3606"/>
      <c r="AC50" s="3605"/>
    </row>
    <row r="51" spans="1:29">
      <c r="A51" s="3436"/>
      <c r="B51" s="3436"/>
      <c r="C51" s="3436"/>
      <c r="D51" s="3436"/>
      <c r="E51" s="3436"/>
      <c r="F51" s="3436"/>
      <c r="G51" s="3449"/>
      <c r="H51" s="3436"/>
      <c r="I51" s="3436"/>
      <c r="J51" s="3436"/>
      <c r="K51" s="3450"/>
      <c r="L51" s="3451"/>
      <c r="M51" s="3436"/>
      <c r="N51" s="3436"/>
      <c r="O51" s="3436"/>
    </row>
    <row r="52" spans="1:29">
      <c r="A52" s="3436"/>
      <c r="B52" s="3436"/>
      <c r="C52" s="3436"/>
      <c r="D52" s="3436"/>
      <c r="E52" s="3436"/>
      <c r="F52" s="3436"/>
      <c r="G52" s="3436"/>
      <c r="H52" s="3436"/>
      <c r="I52" s="3436"/>
      <c r="J52" s="3436"/>
      <c r="K52" s="3450"/>
      <c r="L52" s="3451"/>
      <c r="M52" s="3436"/>
      <c r="N52" s="3436"/>
      <c r="O52" s="3436"/>
    </row>
    <row r="53" spans="1:29" ht="13.5" customHeight="1">
      <c r="A53" s="3436"/>
      <c r="B53" s="3436"/>
      <c r="C53" s="3452" t="s">
        <v>3891</v>
      </c>
      <c r="D53" s="3292"/>
      <c r="E53" s="3453">
        <f>IF(E48&lt;E49,E49/E48-1,E48/E49-1)</f>
        <v>0.17647058823529416</v>
      </c>
      <c r="F53" s="3454" t="str">
        <f>IF(OR(E53&gt;=0.3,E53&lt;=-0.3),"超过30%","")</f>
        <v/>
      </c>
      <c r="G53" s="3453">
        <f>IF(G48&lt;G49,G49/G48-1,G48/G49-1)</f>
        <v>0.16949152542372881</v>
      </c>
      <c r="H53" s="3454" t="str">
        <f>IF(OR(G53&gt;=0.3,G53&lt;=-0.3),"超过30%","")</f>
        <v/>
      </c>
      <c r="I53" s="3453">
        <f>IF(I48&lt;I49,I49/I48-1,I48/I49-1)</f>
        <v>0.17241379310344818</v>
      </c>
      <c r="J53" s="3454" t="str">
        <f>IF(OR(I53&gt;=0.3,I53&lt;=-0.3),"超过30%","")</f>
        <v/>
      </c>
      <c r="K53" s="3450"/>
      <c r="L53" s="3451"/>
      <c r="M53" s="3436"/>
      <c r="N53" s="3436"/>
      <c r="O53" s="3436"/>
    </row>
    <row r="54" spans="1:29" ht="13.5" customHeight="1">
      <c r="A54" s="3436"/>
      <c r="B54" s="3436"/>
      <c r="C54" s="3452" t="s">
        <v>3734</v>
      </c>
      <c r="D54" s="3291"/>
      <c r="E54" s="3453">
        <f>IF(E49&lt;G49,G49/E49-1,E49/G49-1)</f>
        <v>0.15000000000000013</v>
      </c>
      <c r="F54" s="3454" t="str">
        <f>IF(OR(E54&gt;=0.2,E54&lt;=-0.2),"超过20%","")</f>
        <v/>
      </c>
      <c r="G54" s="3453">
        <f>IF(G49&lt;I49,I49/G49-1,G49/I49-1)</f>
        <v>1.4705882352941346E-2</v>
      </c>
      <c r="H54" s="3454" t="str">
        <f>IF(OR(G54&gt;=0.2,G54&lt;=-0.2),"超过20%","")</f>
        <v/>
      </c>
      <c r="I54" s="3453">
        <f>IF(I49&lt;E49,E49/I49-1,I49/E49-1)</f>
        <v>0.1333333333333333</v>
      </c>
      <c r="J54" s="3454" t="str">
        <f>IF(OR(I54&gt;=0.2,I54&lt;=-0.2),"超过20%","")</f>
        <v/>
      </c>
      <c r="K54" s="3450"/>
      <c r="L54" s="3451"/>
      <c r="M54" s="3436"/>
      <c r="N54" s="3436"/>
      <c r="O54" s="3436"/>
    </row>
    <row r="55" spans="1:29" s="3458" customFormat="1" ht="13.5" customHeight="1">
      <c r="A55" s="3455"/>
      <c r="B55" s="3455"/>
      <c r="C55" s="3452" t="s">
        <v>3735</v>
      </c>
      <c r="D55" s="3291"/>
      <c r="E55" s="3453">
        <f>IF(E48&lt;G48,G48/E48-1,E48/G48-1)</f>
        <v>0.15686274509803932</v>
      </c>
      <c r="F55" s="3454" t="str">
        <f>IF(OR(E55&gt;=0.3,E55&lt;=-0.3),"超过30%","")</f>
        <v/>
      </c>
      <c r="G55" s="3453">
        <f>IF(G48&lt;I48,I48/G48-1,G48/I48-1)</f>
        <v>1.7241379310344973E-2</v>
      </c>
      <c r="H55" s="3454" t="str">
        <f>IF(OR(G55&gt;=0.3,G55&lt;=-0.3),"超过30%","")</f>
        <v/>
      </c>
      <c r="I55" s="3453">
        <f>IF(I48&lt;E48,E48/I48-1,I48/E48-1)</f>
        <v>0.13725490196078427</v>
      </c>
      <c r="J55" s="3454" t="str">
        <f>IF(OR(I55&gt;=0.3,I55&lt;=-0.3),"超过30%","")</f>
        <v/>
      </c>
      <c r="K55" s="3456"/>
      <c r="L55" s="3457"/>
      <c r="M55" s="3455"/>
      <c r="N55" s="3455"/>
      <c r="O55" s="3455"/>
      <c r="P55" s="3604"/>
    </row>
    <row r="56" spans="1:29" s="3458" customFormat="1">
      <c r="A56" s="3455"/>
      <c r="B56" s="3459"/>
      <c r="C56" s="3460"/>
      <c r="D56" s="3455"/>
      <c r="E56" s="3455"/>
      <c r="F56" s="3455"/>
      <c r="G56" s="3455"/>
      <c r="H56" s="3455"/>
      <c r="I56" s="3455"/>
      <c r="J56" s="3455"/>
      <c r="K56" s="3456"/>
      <c r="L56" s="3457"/>
      <c r="M56" s="3455"/>
      <c r="N56" s="3455"/>
      <c r="O56" s="3455"/>
      <c r="P56" s="3604"/>
    </row>
    <row r="57" spans="1:29">
      <c r="A57" s="3436"/>
      <c r="B57" s="3459"/>
      <c r="C57" s="3460"/>
      <c r="D57" s="3436"/>
      <c r="E57" s="3436"/>
      <c r="F57" s="3436"/>
      <c r="G57" s="3436"/>
      <c r="H57" s="3436"/>
      <c r="I57" s="3436"/>
      <c r="J57" s="3436"/>
      <c r="K57" s="3450"/>
      <c r="L57" s="3451"/>
      <c r="M57" s="3436"/>
      <c r="N57" s="3436"/>
      <c r="O57" s="3436"/>
    </row>
    <row r="58" spans="1:29" ht="21" thickBot="1">
      <c r="A58" s="3461" t="s">
        <v>3736</v>
      </c>
      <c r="B58" s="3437"/>
      <c r="C58" s="3462"/>
      <c r="D58" s="3462"/>
      <c r="E58" s="3462"/>
      <c r="F58" s="3463"/>
      <c r="G58" s="3463"/>
      <c r="H58" s="3462"/>
      <c r="I58" s="3462"/>
      <c r="J58" s="3462"/>
      <c r="K58" s="3464"/>
      <c r="L58" s="3465"/>
      <c r="M58" s="3466"/>
      <c r="N58" s="3466"/>
      <c r="O58" s="3466"/>
      <c r="P58" s="3603"/>
      <c r="Q58" s="3482"/>
    </row>
    <row r="59" spans="1:29" s="3471" customFormat="1" ht="15">
      <c r="A59" s="3467" t="s">
        <v>3737</v>
      </c>
      <c r="B59" s="3468"/>
      <c r="C59" s="3469" t="str">
        <f>YEAR(C7)&amp;"-"&amp;MONTH(C7)</f>
        <v>2018-1</v>
      </c>
      <c r="D59" s="3470">
        <f t="shared" ref="D59:O59" si="16">EDATE(C59,-1)</f>
        <v>43070</v>
      </c>
      <c r="E59" s="3470">
        <f t="shared" si="16"/>
        <v>43040</v>
      </c>
      <c r="F59" s="3470">
        <f t="shared" si="16"/>
        <v>43009</v>
      </c>
      <c r="G59" s="3470">
        <f t="shared" si="16"/>
        <v>42979</v>
      </c>
      <c r="H59" s="3470">
        <f t="shared" si="16"/>
        <v>42948</v>
      </c>
      <c r="I59" s="3470">
        <f t="shared" si="16"/>
        <v>42917</v>
      </c>
      <c r="J59" s="3470">
        <f t="shared" si="16"/>
        <v>42887</v>
      </c>
      <c r="K59" s="3470">
        <f t="shared" si="16"/>
        <v>42856</v>
      </c>
      <c r="L59" s="3470">
        <f t="shared" si="16"/>
        <v>42826</v>
      </c>
      <c r="M59" s="3470">
        <f t="shared" si="16"/>
        <v>42795</v>
      </c>
      <c r="N59" s="3470">
        <f t="shared" si="16"/>
        <v>42767</v>
      </c>
      <c r="O59" s="3470">
        <f t="shared" si="16"/>
        <v>42736</v>
      </c>
      <c r="P59" s="3602"/>
    </row>
    <row r="60" spans="1:29" s="3343" customFormat="1" ht="14.25">
      <c r="A60" s="3472"/>
      <c r="B60" s="3473"/>
      <c r="C60" s="3474">
        <v>100</v>
      </c>
      <c r="D60" s="3475">
        <v>99.5</v>
      </c>
      <c r="E60" s="3475">
        <v>99</v>
      </c>
      <c r="F60" s="3475">
        <v>98.5</v>
      </c>
      <c r="G60" s="3475">
        <v>98</v>
      </c>
      <c r="H60" s="3475">
        <v>97.5</v>
      </c>
      <c r="I60" s="3475">
        <v>97</v>
      </c>
      <c r="J60" s="3475">
        <v>96.5</v>
      </c>
      <c r="K60" s="3475">
        <v>96</v>
      </c>
      <c r="L60" s="3475">
        <v>95.5</v>
      </c>
      <c r="M60" s="3476">
        <v>95</v>
      </c>
      <c r="N60" s="3475">
        <v>94.5</v>
      </c>
      <c r="O60" s="3476">
        <v>94</v>
      </c>
      <c r="P60" s="3600"/>
    </row>
    <row r="61" spans="1:29" s="3343" customFormat="1" ht="15" thickBot="1">
      <c r="A61" s="3477" t="s">
        <v>3738</v>
      </c>
      <c r="B61" s="3478"/>
      <c r="C61" s="3479"/>
      <c r="D61" s="3480"/>
      <c r="E61" s="3480"/>
      <c r="F61" s="3480"/>
      <c r="G61" s="3480"/>
      <c r="H61" s="3480"/>
      <c r="I61" s="3480"/>
      <c r="J61" s="3480"/>
      <c r="K61" s="3480"/>
      <c r="L61" s="3480"/>
      <c r="M61" s="3481"/>
      <c r="N61" s="3480"/>
      <c r="O61" s="3481"/>
      <c r="P61" s="3600"/>
      <c r="Q61" s="3482"/>
    </row>
    <row r="62" spans="1:29" s="3343" customFormat="1">
      <c r="A62" s="3483" t="s">
        <v>3739</v>
      </c>
      <c r="B62" s="3473"/>
      <c r="C62" s="3484" t="s">
        <v>3740</v>
      </c>
      <c r="D62" s="3485" t="s">
        <v>3741</v>
      </c>
      <c r="E62" s="3485"/>
      <c r="F62" s="3485"/>
      <c r="G62" s="3485"/>
      <c r="H62" s="3485"/>
      <c r="I62" s="3485"/>
      <c r="J62" s="3485"/>
      <c r="K62" s="3485"/>
      <c r="L62" s="3486"/>
      <c r="M62" s="3487"/>
      <c r="N62" s="3488"/>
      <c r="O62" s="3488"/>
      <c r="P62" s="3601"/>
      <c r="Q62" s="3482"/>
    </row>
    <row r="63" spans="1:29" s="3343" customFormat="1" ht="15" thickBot="1">
      <c r="A63" s="3483"/>
      <c r="B63" s="3473"/>
      <c r="C63" s="3489">
        <v>100</v>
      </c>
      <c r="D63" s="3475">
        <v>99</v>
      </c>
      <c r="E63" s="3475"/>
      <c r="F63" s="3475"/>
      <c r="G63" s="3475"/>
      <c r="H63" s="3475"/>
      <c r="I63" s="3475"/>
      <c r="J63" s="3475"/>
      <c r="K63" s="3475"/>
      <c r="L63" s="3475"/>
      <c r="M63" s="3490"/>
      <c r="N63" s="3488"/>
      <c r="O63" s="3488"/>
      <c r="P63" s="3600"/>
      <c r="Q63" s="3482"/>
    </row>
    <row r="64" spans="1:29">
      <c r="A64" s="3491" t="s">
        <v>3708</v>
      </c>
      <c r="B64" s="3492" t="s">
        <v>3709</v>
      </c>
      <c r="C64" s="3493" t="str">
        <f>C9</f>
        <v>办公</v>
      </c>
      <c r="D64" s="3494" t="s">
        <v>3742</v>
      </c>
      <c r="E64" s="3494"/>
      <c r="F64" s="3494"/>
      <c r="G64" s="3494"/>
      <c r="H64" s="3494"/>
      <c r="I64" s="3494"/>
      <c r="J64" s="3494"/>
      <c r="K64" s="3495"/>
      <c r="L64" s="3496"/>
      <c r="M64" s="3497"/>
      <c r="N64" s="3498"/>
      <c r="O64" s="3498"/>
      <c r="P64" s="3588"/>
      <c r="Q64" s="3482"/>
    </row>
    <row r="65" spans="1:17" ht="15" thickBot="1">
      <c r="A65" s="3499"/>
      <c r="B65" s="3500"/>
      <c r="C65" s="3501">
        <v>100</v>
      </c>
      <c r="D65" s="3501">
        <v>95</v>
      </c>
      <c r="E65" s="3501"/>
      <c r="F65" s="3501"/>
      <c r="G65" s="3501"/>
      <c r="H65" s="3501"/>
      <c r="I65" s="3501"/>
      <c r="J65" s="3501"/>
      <c r="K65" s="3501"/>
      <c r="L65" s="3501"/>
      <c r="M65" s="3502"/>
      <c r="N65" s="3503"/>
      <c r="O65" s="3503"/>
      <c r="P65" s="3588"/>
      <c r="Q65" s="3482"/>
    </row>
    <row r="66" spans="1:17" ht="27.75" thickTop="1">
      <c r="A66" s="3499"/>
      <c r="B66" s="3504" t="s">
        <v>3743</v>
      </c>
      <c r="C66" s="3505" t="s">
        <v>3744</v>
      </c>
      <c r="D66" s="3505" t="s">
        <v>3745</v>
      </c>
      <c r="E66" s="3505" t="s">
        <v>3746</v>
      </c>
      <c r="F66" s="3505" t="s">
        <v>3747</v>
      </c>
      <c r="G66" s="3505" t="s">
        <v>3748</v>
      </c>
      <c r="H66" s="3505" t="s">
        <v>3749</v>
      </c>
      <c r="I66" s="3505" t="s">
        <v>3750</v>
      </c>
      <c r="J66" s="3505"/>
      <c r="K66" s="3506"/>
      <c r="L66" s="3507"/>
      <c r="M66" s="3508"/>
      <c r="N66" s="3498"/>
      <c r="O66" s="3498"/>
      <c r="P66" s="3588"/>
      <c r="Q66" s="3482"/>
    </row>
    <row r="67" spans="1:17" ht="15" thickBot="1">
      <c r="A67" s="3499"/>
      <c r="B67" s="3509"/>
      <c r="C67" s="3510" t="s">
        <v>3751</v>
      </c>
      <c r="D67" s="3510" t="s">
        <v>3751</v>
      </c>
      <c r="E67" s="3510">
        <v>100</v>
      </c>
      <c r="F67" s="3510">
        <f>E67-$K10</f>
        <v>99</v>
      </c>
      <c r="G67" s="3510">
        <f>F67-$K10</f>
        <v>98</v>
      </c>
      <c r="H67" s="3510">
        <f>G67-$K10</f>
        <v>97</v>
      </c>
      <c r="I67" s="3510">
        <f>H67-$K10</f>
        <v>96</v>
      </c>
      <c r="J67" s="3510"/>
      <c r="K67" s="3510"/>
      <c r="L67" s="3510"/>
      <c r="M67" s="3511"/>
      <c r="N67" s="3503"/>
      <c r="O67" s="3503"/>
      <c r="P67" s="3588"/>
      <c r="Q67" s="3482"/>
    </row>
    <row r="68" spans="1:17" ht="15" thickTop="1">
      <c r="A68" s="3499"/>
      <c r="B68" s="3512" t="s">
        <v>3752</v>
      </c>
      <c r="C68" s="3513" t="str">
        <f t="shared" ref="C68:L68" si="17">C69&amp;"（含）"&amp;"-"&amp;D69</f>
        <v>0（含）-1</v>
      </c>
      <c r="D68" s="3513" t="str">
        <f t="shared" si="17"/>
        <v>1（含）-2</v>
      </c>
      <c r="E68" s="3513" t="str">
        <f t="shared" si="17"/>
        <v>2（含）-3</v>
      </c>
      <c r="F68" s="3513" t="str">
        <f t="shared" si="17"/>
        <v>3（含）-4</v>
      </c>
      <c r="G68" s="3513" t="str">
        <f t="shared" si="17"/>
        <v>4（含）-</v>
      </c>
      <c r="H68" s="3513" t="str">
        <f t="shared" si="17"/>
        <v>（含）-</v>
      </c>
      <c r="I68" s="3513" t="str">
        <f t="shared" si="17"/>
        <v>（含）-</v>
      </c>
      <c r="J68" s="3513" t="str">
        <f t="shared" si="17"/>
        <v>（含）-</v>
      </c>
      <c r="K68" s="3513" t="str">
        <f t="shared" si="17"/>
        <v>（含）-</v>
      </c>
      <c r="L68" s="3513" t="str">
        <f t="shared" si="17"/>
        <v>（含）-</v>
      </c>
      <c r="M68" s="3391" t="str">
        <f>M69&amp;"（含）"&amp;"-"&amp;P69</f>
        <v>（含）-</v>
      </c>
      <c r="N68" s="3503"/>
      <c r="O68" s="3503"/>
      <c r="P68" s="3588"/>
      <c r="Q68" s="3482"/>
    </row>
    <row r="69" spans="1:17" ht="14.25">
      <c r="A69" s="3499"/>
      <c r="B69" s="3514"/>
      <c r="C69" s="3515">
        <v>0</v>
      </c>
      <c r="D69" s="3515">
        <v>1</v>
      </c>
      <c r="E69" s="3515">
        <v>2</v>
      </c>
      <c r="F69" s="3515">
        <v>3</v>
      </c>
      <c r="G69" s="3515">
        <v>4</v>
      </c>
      <c r="H69" s="3515"/>
      <c r="I69" s="3515"/>
      <c r="J69" s="3515"/>
      <c r="K69" s="3516"/>
      <c r="L69" s="3517"/>
      <c r="M69" s="3518"/>
      <c r="N69" s="3498"/>
      <c r="O69" s="3498"/>
      <c r="P69" s="3588"/>
      <c r="Q69" s="3482"/>
    </row>
    <row r="70" spans="1:17" ht="15" thickBot="1">
      <c r="A70" s="3499"/>
      <c r="B70" s="3500"/>
      <c r="C70" s="3510">
        <v>100</v>
      </c>
      <c r="D70" s="3510">
        <f t="shared" ref="D70:M70" si="18">C70-$K11</f>
        <v>97</v>
      </c>
      <c r="E70" s="3510">
        <f t="shared" si="18"/>
        <v>94</v>
      </c>
      <c r="F70" s="3510">
        <f t="shared" si="18"/>
        <v>91</v>
      </c>
      <c r="G70" s="3510">
        <f t="shared" si="18"/>
        <v>88</v>
      </c>
      <c r="H70" s="3510">
        <f t="shared" si="18"/>
        <v>85</v>
      </c>
      <c r="I70" s="3510">
        <f t="shared" si="18"/>
        <v>82</v>
      </c>
      <c r="J70" s="3510">
        <f t="shared" si="18"/>
        <v>79</v>
      </c>
      <c r="K70" s="3510">
        <f t="shared" si="18"/>
        <v>76</v>
      </c>
      <c r="L70" s="3510">
        <f t="shared" si="18"/>
        <v>73</v>
      </c>
      <c r="M70" s="3511">
        <f t="shared" si="18"/>
        <v>70</v>
      </c>
      <c r="N70" s="3503"/>
      <c r="O70" s="3503"/>
      <c r="P70" s="3588"/>
      <c r="Q70" s="3482"/>
    </row>
    <row r="71" spans="1:17" s="3418" customFormat="1" ht="14.25" thickTop="1">
      <c r="A71" s="3519"/>
      <c r="B71" s="3504">
        <f>B12</f>
        <v>111</v>
      </c>
      <c r="C71" s="3520">
        <v>111</v>
      </c>
      <c r="D71" s="3520">
        <v>222</v>
      </c>
      <c r="E71" s="3520">
        <v>333</v>
      </c>
      <c r="F71" s="3520">
        <v>444</v>
      </c>
      <c r="G71" s="3520"/>
      <c r="H71" s="3521"/>
      <c r="I71" s="3521"/>
      <c r="J71" s="3521"/>
      <c r="K71" s="3521"/>
      <c r="L71" s="3522"/>
      <c r="M71" s="3523"/>
      <c r="N71" s="3524"/>
      <c r="O71" s="3524"/>
      <c r="P71" s="3589"/>
      <c r="Q71" s="3525"/>
    </row>
    <row r="72" spans="1:17" s="3418" customFormat="1" ht="15" thickBot="1">
      <c r="A72" s="3519"/>
      <c r="B72" s="3509"/>
      <c r="C72" s="3526">
        <v>100</v>
      </c>
      <c r="D72" s="3501">
        <v>101</v>
      </c>
      <c r="E72" s="3501">
        <v>102</v>
      </c>
      <c r="F72" s="3501">
        <v>103</v>
      </c>
      <c r="G72" s="3501"/>
      <c r="H72" s="3501"/>
      <c r="I72" s="3501"/>
      <c r="J72" s="3501"/>
      <c r="K72" s="3501"/>
      <c r="L72" s="3501"/>
      <c r="M72" s="3502"/>
      <c r="N72" s="3503"/>
      <c r="O72" s="3503"/>
      <c r="P72" s="3589"/>
      <c r="Q72" s="3525"/>
    </row>
    <row r="73" spans="1:17" s="3418" customFormat="1" ht="14.25" thickTop="1">
      <c r="A73" s="3519"/>
      <c r="B73" s="3504">
        <f>B13</f>
        <v>111</v>
      </c>
      <c r="C73" s="3520">
        <v>111</v>
      </c>
      <c r="D73" s="3520">
        <v>222</v>
      </c>
      <c r="E73" s="3520">
        <v>333</v>
      </c>
      <c r="F73" s="3520">
        <v>444</v>
      </c>
      <c r="G73" s="3520"/>
      <c r="H73" s="3521"/>
      <c r="I73" s="3521"/>
      <c r="J73" s="3521"/>
      <c r="K73" s="3521"/>
      <c r="L73" s="3522"/>
      <c r="M73" s="3523"/>
      <c r="N73" s="3524"/>
      <c r="O73" s="3524"/>
      <c r="P73" s="3599"/>
      <c r="Q73" s="3527"/>
    </row>
    <row r="74" spans="1:17" s="3418" customFormat="1" ht="15" thickBot="1">
      <c r="A74" s="3519"/>
      <c r="B74" s="3509"/>
      <c r="C74" s="3526">
        <v>100</v>
      </c>
      <c r="D74" s="3526">
        <v>101</v>
      </c>
      <c r="E74" s="3526">
        <v>102</v>
      </c>
      <c r="F74" s="3526">
        <v>103</v>
      </c>
      <c r="G74" s="3526"/>
      <c r="H74" s="3528"/>
      <c r="I74" s="3528"/>
      <c r="J74" s="3528"/>
      <c r="K74" s="3528"/>
      <c r="L74" s="3528"/>
      <c r="M74" s="3529"/>
      <c r="N74" s="3524"/>
      <c r="O74" s="3524"/>
      <c r="P74" s="3589"/>
      <c r="Q74" s="3525"/>
    </row>
    <row r="75" spans="1:17" s="3418" customFormat="1" ht="14.25" thickTop="1">
      <c r="A75" s="3519"/>
      <c r="B75" s="3512">
        <f>B14</f>
        <v>111</v>
      </c>
      <c r="C75" s="3485">
        <v>111</v>
      </c>
      <c r="D75" s="3485">
        <v>222</v>
      </c>
      <c r="E75" s="3485">
        <v>333</v>
      </c>
      <c r="F75" s="3485">
        <v>444</v>
      </c>
      <c r="G75" s="3485"/>
      <c r="H75" s="3530"/>
      <c r="I75" s="3530"/>
      <c r="J75" s="3530"/>
      <c r="K75" s="3530"/>
      <c r="L75" s="3531"/>
      <c r="M75" s="3532"/>
      <c r="N75" s="3524"/>
      <c r="O75" s="3524"/>
      <c r="P75" s="3598"/>
      <c r="Q75" s="3525"/>
    </row>
    <row r="76" spans="1:17" s="3418" customFormat="1" ht="15" thickBot="1">
      <c r="A76" s="3533"/>
      <c r="B76" s="3534"/>
      <c r="C76" s="3535">
        <v>100</v>
      </c>
      <c r="D76" s="3535">
        <v>98</v>
      </c>
      <c r="E76" s="3535">
        <v>96</v>
      </c>
      <c r="F76" s="3535">
        <v>94</v>
      </c>
      <c r="G76" s="3535"/>
      <c r="H76" s="3536"/>
      <c r="I76" s="3536"/>
      <c r="J76" s="3536"/>
      <c r="K76" s="3536"/>
      <c r="L76" s="3536"/>
      <c r="M76" s="3537"/>
      <c r="N76" s="3524"/>
      <c r="O76" s="3524"/>
      <c r="P76" s="3589"/>
      <c r="Q76" s="3525"/>
    </row>
    <row r="77" spans="1:17" ht="14.25">
      <c r="A77" s="3491" t="s">
        <v>3890</v>
      </c>
      <c r="B77" s="3492" t="s">
        <v>3889</v>
      </c>
      <c r="C77" s="3538" t="s">
        <v>3756</v>
      </c>
      <c r="D77" s="3538" t="s">
        <v>3757</v>
      </c>
      <c r="E77" s="3538" t="s">
        <v>3758</v>
      </c>
      <c r="F77" s="3538" t="s">
        <v>3759</v>
      </c>
      <c r="G77" s="3538" t="s">
        <v>3760</v>
      </c>
      <c r="H77" s="3539"/>
      <c r="I77" s="3539"/>
      <c r="J77" s="3539"/>
      <c r="K77" s="3540"/>
      <c r="L77" s="3541"/>
      <c r="M77" s="3542"/>
      <c r="N77" s="3498"/>
      <c r="O77" s="3498"/>
      <c r="P77" s="3597"/>
      <c r="Q77" s="3482"/>
    </row>
    <row r="78" spans="1:17" ht="15" thickBot="1">
      <c r="A78" s="3499"/>
      <c r="B78" s="3509"/>
      <c r="C78" s="3510">
        <v>100</v>
      </c>
      <c r="D78" s="3510">
        <f>C78-$K15</f>
        <v>98</v>
      </c>
      <c r="E78" s="3510">
        <f>D78-$K15</f>
        <v>96</v>
      </c>
      <c r="F78" s="3510">
        <f>E78-$K15</f>
        <v>94</v>
      </c>
      <c r="G78" s="3510">
        <f>F78-$K15</f>
        <v>92</v>
      </c>
      <c r="H78" s="3510"/>
      <c r="I78" s="3510"/>
      <c r="J78" s="3510"/>
      <c r="K78" s="3510"/>
      <c r="L78" s="3510"/>
      <c r="M78" s="3511"/>
      <c r="N78" s="3503"/>
      <c r="O78" s="3503"/>
      <c r="P78" s="3588"/>
      <c r="Q78" s="3482"/>
    </row>
    <row r="79" spans="1:17" ht="15" thickTop="1">
      <c r="A79" s="3499"/>
      <c r="B79" s="3504" t="s">
        <v>3888</v>
      </c>
      <c r="C79" s="3543" t="s">
        <v>3756</v>
      </c>
      <c r="D79" s="3543" t="s">
        <v>3757</v>
      </c>
      <c r="E79" s="3543" t="s">
        <v>3758</v>
      </c>
      <c r="F79" s="3543" t="s">
        <v>3759</v>
      </c>
      <c r="G79" s="3543" t="s">
        <v>3760</v>
      </c>
      <c r="H79" s="3505"/>
      <c r="I79" s="3505"/>
      <c r="J79" s="3505"/>
      <c r="K79" s="3506"/>
      <c r="L79" s="3507"/>
      <c r="M79" s="3508"/>
      <c r="N79" s="3498"/>
      <c r="O79" s="3498"/>
      <c r="P79" s="3588"/>
      <c r="Q79" s="3482"/>
    </row>
    <row r="80" spans="1:17" ht="15" thickBot="1">
      <c r="A80" s="3499"/>
      <c r="B80" s="3509"/>
      <c r="C80" s="3510">
        <v>100</v>
      </c>
      <c r="D80" s="3510">
        <f>C80-$K17</f>
        <v>95</v>
      </c>
      <c r="E80" s="3510">
        <f>D80-$K17</f>
        <v>90</v>
      </c>
      <c r="F80" s="3510">
        <f>E80-$K17</f>
        <v>85</v>
      </c>
      <c r="G80" s="3510">
        <f>F80-$K17</f>
        <v>80</v>
      </c>
      <c r="H80" s="3510"/>
      <c r="I80" s="3510"/>
      <c r="J80" s="3510"/>
      <c r="K80" s="3510"/>
      <c r="L80" s="3510"/>
      <c r="M80" s="3511"/>
      <c r="N80" s="3503"/>
      <c r="O80" s="3503"/>
      <c r="P80" s="3588"/>
      <c r="Q80" s="3482"/>
    </row>
    <row r="81" spans="1:17" ht="15" thickTop="1">
      <c r="A81" s="3499"/>
      <c r="B81" s="3504" t="s">
        <v>3887</v>
      </c>
      <c r="C81" s="3543" t="s">
        <v>3756</v>
      </c>
      <c r="D81" s="3543" t="s">
        <v>3757</v>
      </c>
      <c r="E81" s="3543" t="s">
        <v>3758</v>
      </c>
      <c r="F81" s="3543" t="s">
        <v>3759</v>
      </c>
      <c r="G81" s="3543" t="s">
        <v>3760</v>
      </c>
      <c r="H81" s="3505"/>
      <c r="I81" s="3505"/>
      <c r="J81" s="3505"/>
      <c r="K81" s="3506"/>
      <c r="L81" s="3507"/>
      <c r="M81" s="3508"/>
      <c r="N81" s="3498"/>
      <c r="O81" s="3498"/>
      <c r="P81" s="3588"/>
      <c r="Q81" s="3482"/>
    </row>
    <row r="82" spans="1:17" ht="15" thickBot="1">
      <c r="A82" s="3499"/>
      <c r="B82" s="3509"/>
      <c r="C82" s="3510">
        <v>100</v>
      </c>
      <c r="D82" s="3510">
        <f>C82-$K19</f>
        <v>98</v>
      </c>
      <c r="E82" s="3510">
        <f>D82-$K19</f>
        <v>96</v>
      </c>
      <c r="F82" s="3510">
        <f>E82-$K19</f>
        <v>94</v>
      </c>
      <c r="G82" s="3510">
        <f>F82-$K19</f>
        <v>92</v>
      </c>
      <c r="H82" s="3510"/>
      <c r="I82" s="3510"/>
      <c r="J82" s="3510"/>
      <c r="K82" s="3510"/>
      <c r="L82" s="3510"/>
      <c r="M82" s="3511"/>
      <c r="N82" s="3503"/>
      <c r="O82" s="3503"/>
      <c r="P82" s="3588"/>
      <c r="Q82" s="3482"/>
    </row>
    <row r="83" spans="1:17" ht="15" thickTop="1">
      <c r="A83" s="3499"/>
      <c r="B83" s="3512" t="s">
        <v>3886</v>
      </c>
      <c r="C83" s="3544" t="s">
        <v>3885</v>
      </c>
      <c r="D83" s="3544" t="s">
        <v>3884</v>
      </c>
      <c r="E83" s="3544" t="s">
        <v>3753</v>
      </c>
      <c r="F83" s="3544" t="s">
        <v>3754</v>
      </c>
      <c r="G83" s="3544" t="s">
        <v>3755</v>
      </c>
      <c r="H83" s="3505"/>
      <c r="I83" s="3505"/>
      <c r="J83" s="3505"/>
      <c r="K83" s="3505"/>
      <c r="L83" s="3505"/>
      <c r="M83" s="3545"/>
      <c r="N83" s="3503"/>
      <c r="O83" s="3503"/>
      <c r="P83" s="3588"/>
      <c r="Q83" s="3482"/>
    </row>
    <row r="84" spans="1:17" ht="15" thickBot="1">
      <c r="A84" s="3499"/>
      <c r="B84" s="3512"/>
      <c r="C84" s="3510">
        <v>100</v>
      </c>
      <c r="D84" s="3510">
        <f>C84-$K21</f>
        <v>98</v>
      </c>
      <c r="E84" s="3510">
        <f>D84-$K21</f>
        <v>96</v>
      </c>
      <c r="F84" s="3510">
        <f>E84-$K21</f>
        <v>94</v>
      </c>
      <c r="G84" s="3510">
        <f>F84-$K21</f>
        <v>92</v>
      </c>
      <c r="H84" s="3546"/>
      <c r="I84" s="3546"/>
      <c r="J84" s="3546"/>
      <c r="K84" s="3546"/>
      <c r="L84" s="3546"/>
      <c r="M84" s="3392"/>
      <c r="N84" s="3503"/>
      <c r="O84" s="3503"/>
      <c r="P84" s="3588"/>
      <c r="Q84" s="3482"/>
    </row>
    <row r="85" spans="1:17" ht="15" thickTop="1">
      <c r="A85" s="3499"/>
      <c r="B85" s="3504" t="s">
        <v>3883</v>
      </c>
      <c r="C85" s="3543" t="s">
        <v>3882</v>
      </c>
      <c r="D85" s="3543" t="s">
        <v>3881</v>
      </c>
      <c r="E85" s="3543" t="s">
        <v>3880</v>
      </c>
      <c r="F85" s="3543" t="s">
        <v>3879</v>
      </c>
      <c r="G85" s="3543" t="s">
        <v>3878</v>
      </c>
      <c r="H85" s="3505"/>
      <c r="I85" s="3505"/>
      <c r="J85" s="3505"/>
      <c r="K85" s="3506"/>
      <c r="L85" s="3507"/>
      <c r="M85" s="3508"/>
      <c r="N85" s="3498"/>
      <c r="O85" s="3498"/>
      <c r="P85" s="3588"/>
      <c r="Q85" s="3482"/>
    </row>
    <row r="86" spans="1:17" ht="15" thickBot="1">
      <c r="A86" s="3499"/>
      <c r="B86" s="3509"/>
      <c r="C86" s="3510">
        <v>100</v>
      </c>
      <c r="D86" s="3510">
        <f>C86-$K23</f>
        <v>97</v>
      </c>
      <c r="E86" s="3510">
        <f>D86-$K23</f>
        <v>94</v>
      </c>
      <c r="F86" s="3510">
        <f>E86-$K23</f>
        <v>91</v>
      </c>
      <c r="G86" s="3510">
        <f>F86-$K23</f>
        <v>88</v>
      </c>
      <c r="H86" s="3510"/>
      <c r="I86" s="3510"/>
      <c r="J86" s="3510"/>
      <c r="K86" s="3510"/>
      <c r="L86" s="3510"/>
      <c r="M86" s="3511"/>
      <c r="N86" s="3503"/>
      <c r="O86" s="3503"/>
      <c r="P86" s="3588"/>
      <c r="Q86" s="3482"/>
    </row>
    <row r="87" spans="1:17" s="3343" customFormat="1" ht="27.75" thickTop="1">
      <c r="A87" s="3547"/>
      <c r="B87" s="3504" t="s">
        <v>3877</v>
      </c>
      <c r="C87" s="3520" t="s">
        <v>3876</v>
      </c>
      <c r="D87" s="3520" t="s">
        <v>3875</v>
      </c>
      <c r="E87" s="3520" t="s">
        <v>3874</v>
      </c>
      <c r="F87" s="3520" t="s">
        <v>3873</v>
      </c>
      <c r="G87" s="3520" t="s">
        <v>3872</v>
      </c>
      <c r="H87" s="3520"/>
      <c r="I87" s="3520"/>
      <c r="J87" s="3520"/>
      <c r="K87" s="3520"/>
      <c r="L87" s="3548"/>
      <c r="M87" s="3549"/>
      <c r="N87" s="3488"/>
      <c r="O87" s="3488"/>
      <c r="P87" s="3588"/>
      <c r="Q87" s="3482"/>
    </row>
    <row r="88" spans="1:17" s="3343" customFormat="1" ht="15" thickBot="1">
      <c r="A88" s="3547"/>
      <c r="B88" s="3509"/>
      <c r="C88" s="3550">
        <v>100</v>
      </c>
      <c r="D88" s="3510">
        <f t="shared" ref="D88:M88" si="19">C88-$K25</f>
        <v>98</v>
      </c>
      <c r="E88" s="3510">
        <f t="shared" si="19"/>
        <v>96</v>
      </c>
      <c r="F88" s="3510">
        <f t="shared" si="19"/>
        <v>94</v>
      </c>
      <c r="G88" s="3510">
        <f t="shared" si="19"/>
        <v>92</v>
      </c>
      <c r="H88" s="3510">
        <f t="shared" si="19"/>
        <v>90</v>
      </c>
      <c r="I88" s="3510">
        <f t="shared" si="19"/>
        <v>88</v>
      </c>
      <c r="J88" s="3510">
        <f t="shared" si="19"/>
        <v>86</v>
      </c>
      <c r="K88" s="3510">
        <f t="shared" si="19"/>
        <v>84</v>
      </c>
      <c r="L88" s="3510">
        <f t="shared" si="19"/>
        <v>82</v>
      </c>
      <c r="M88" s="3510">
        <f t="shared" si="19"/>
        <v>80</v>
      </c>
      <c r="N88" s="3503"/>
      <c r="O88" s="3503"/>
      <c r="P88" s="3588"/>
      <c r="Q88" s="3482"/>
    </row>
    <row r="89" spans="1:17" s="3343" customFormat="1" ht="14.25" thickTop="1">
      <c r="A89" s="3547"/>
      <c r="B89" s="3504" t="str">
        <f>B27</f>
        <v>楼层</v>
      </c>
      <c r="C89" s="3520" t="s">
        <v>3871</v>
      </c>
      <c r="D89" s="3520" t="s">
        <v>3870</v>
      </c>
      <c r="E89" s="3520" t="s">
        <v>3869</v>
      </c>
      <c r="F89" s="3520" t="s">
        <v>3868</v>
      </c>
      <c r="G89" s="3520"/>
      <c r="H89" s="3520"/>
      <c r="I89" s="3520"/>
      <c r="J89" s="3520"/>
      <c r="K89" s="3520"/>
      <c r="L89" s="3520"/>
      <c r="M89" s="3549"/>
      <c r="N89" s="3488"/>
      <c r="O89" s="3488"/>
      <c r="P89" s="3588"/>
      <c r="Q89" s="3482"/>
    </row>
    <row r="90" spans="1:17" s="3343" customFormat="1" ht="15" thickBot="1">
      <c r="A90" s="3547"/>
      <c r="B90" s="3509"/>
      <c r="C90" s="3550">
        <v>100</v>
      </c>
      <c r="D90" s="3510">
        <f t="shared" ref="D90:M90" si="20">C90-$K27</f>
        <v>98</v>
      </c>
      <c r="E90" s="3510">
        <f t="shared" si="20"/>
        <v>96</v>
      </c>
      <c r="F90" s="3510">
        <f t="shared" si="20"/>
        <v>94</v>
      </c>
      <c r="G90" s="3510">
        <f t="shared" si="20"/>
        <v>92</v>
      </c>
      <c r="H90" s="3510">
        <f t="shared" si="20"/>
        <v>90</v>
      </c>
      <c r="I90" s="3510">
        <f t="shared" si="20"/>
        <v>88</v>
      </c>
      <c r="J90" s="3510">
        <f t="shared" si="20"/>
        <v>86</v>
      </c>
      <c r="K90" s="3510">
        <f t="shared" si="20"/>
        <v>84</v>
      </c>
      <c r="L90" s="3510">
        <f t="shared" si="20"/>
        <v>82</v>
      </c>
      <c r="M90" s="3510">
        <f t="shared" si="20"/>
        <v>80</v>
      </c>
      <c r="N90" s="3503"/>
      <c r="O90" s="3503"/>
      <c r="P90" s="3588"/>
      <c r="Q90" s="3482"/>
    </row>
    <row r="91" spans="1:17" s="3418" customFormat="1" ht="14.25" thickTop="1">
      <c r="A91" s="3519"/>
      <c r="B91" s="3504" t="str">
        <f>B28</f>
        <v>朝向</v>
      </c>
      <c r="C91" s="3520" t="s">
        <v>3867</v>
      </c>
      <c r="D91" s="3520" t="s">
        <v>3866</v>
      </c>
      <c r="E91" s="3520" t="s">
        <v>3865</v>
      </c>
      <c r="F91" s="3520" t="s">
        <v>3864</v>
      </c>
      <c r="G91" s="3520"/>
      <c r="H91" s="3521"/>
      <c r="I91" s="3521"/>
      <c r="J91" s="3521"/>
      <c r="K91" s="3521"/>
      <c r="L91" s="3522"/>
      <c r="M91" s="3523"/>
      <c r="N91" s="3524"/>
      <c r="O91" s="3524"/>
      <c r="P91" s="3589"/>
      <c r="Q91" s="3525"/>
    </row>
    <row r="92" spans="1:17" s="3418" customFormat="1" ht="15" thickBot="1">
      <c r="A92" s="3519"/>
      <c r="B92" s="3509"/>
      <c r="C92" s="3550">
        <v>100</v>
      </c>
      <c r="D92" s="3510">
        <f t="shared" ref="D92:M92" si="21">C92-$K28</f>
        <v>98</v>
      </c>
      <c r="E92" s="3510">
        <f t="shared" si="21"/>
        <v>96</v>
      </c>
      <c r="F92" s="3510">
        <f t="shared" si="21"/>
        <v>94</v>
      </c>
      <c r="G92" s="3510">
        <f t="shared" si="21"/>
        <v>92</v>
      </c>
      <c r="H92" s="3510">
        <f t="shared" si="21"/>
        <v>90</v>
      </c>
      <c r="I92" s="3510">
        <f t="shared" si="21"/>
        <v>88</v>
      </c>
      <c r="J92" s="3510">
        <f t="shared" si="21"/>
        <v>86</v>
      </c>
      <c r="K92" s="3510">
        <f t="shared" si="21"/>
        <v>84</v>
      </c>
      <c r="L92" s="3510">
        <f t="shared" si="21"/>
        <v>82</v>
      </c>
      <c r="M92" s="3510">
        <f t="shared" si="21"/>
        <v>80</v>
      </c>
      <c r="N92" s="3524"/>
      <c r="O92" s="3524"/>
      <c r="P92" s="3589"/>
      <c r="Q92" s="3525"/>
    </row>
    <row r="93" spans="1:17" ht="14.25" thickTop="1">
      <c r="A93" s="3499"/>
      <c r="B93" s="3504">
        <f>B29</f>
        <v>111</v>
      </c>
      <c r="C93" s="3520">
        <v>111</v>
      </c>
      <c r="D93" s="3520">
        <v>222</v>
      </c>
      <c r="E93" s="3520">
        <v>333</v>
      </c>
      <c r="F93" s="3520">
        <v>444</v>
      </c>
      <c r="G93" s="3520"/>
      <c r="H93" s="3520"/>
      <c r="I93" s="3520"/>
      <c r="J93" s="3520"/>
      <c r="K93" s="3520"/>
      <c r="L93" s="3548"/>
      <c r="M93" s="3549"/>
      <c r="N93" s="3498"/>
      <c r="O93" s="3498"/>
      <c r="P93" s="3588"/>
      <c r="Q93" s="3482"/>
    </row>
    <row r="94" spans="1:17" ht="15" thickBot="1">
      <c r="A94" s="3499"/>
      <c r="B94" s="3509"/>
      <c r="C94" s="3526">
        <v>100</v>
      </c>
      <c r="D94" s="3501">
        <v>101</v>
      </c>
      <c r="E94" s="3501">
        <v>102</v>
      </c>
      <c r="F94" s="3501">
        <v>103</v>
      </c>
      <c r="G94" s="3501"/>
      <c r="H94" s="3501"/>
      <c r="I94" s="3501"/>
      <c r="J94" s="3501"/>
      <c r="K94" s="3501"/>
      <c r="L94" s="3501"/>
      <c r="M94" s="3502"/>
      <c r="N94" s="3503"/>
      <c r="O94" s="3503"/>
      <c r="P94" s="3588"/>
      <c r="Q94" s="3482"/>
    </row>
    <row r="95" spans="1:17" ht="14.25" thickTop="1">
      <c r="A95" s="3499"/>
      <c r="B95" s="3504">
        <f>B30</f>
        <v>111</v>
      </c>
      <c r="C95" s="3520">
        <v>111</v>
      </c>
      <c r="D95" s="3520">
        <v>222</v>
      </c>
      <c r="E95" s="3520">
        <v>333</v>
      </c>
      <c r="F95" s="3520">
        <v>444</v>
      </c>
      <c r="G95" s="3551"/>
      <c r="H95" s="3551"/>
      <c r="I95" s="3551"/>
      <c r="J95" s="3551"/>
      <c r="K95" s="3552"/>
      <c r="L95" s="3553"/>
      <c r="M95" s="3554"/>
      <c r="N95" s="3498"/>
      <c r="O95" s="3498"/>
      <c r="P95" s="3588"/>
      <c r="Q95" s="3482"/>
    </row>
    <row r="96" spans="1:17" ht="15" thickBot="1">
      <c r="A96" s="3499"/>
      <c r="B96" s="3509"/>
      <c r="C96" s="3526">
        <v>100</v>
      </c>
      <c r="D96" s="3526">
        <v>101</v>
      </c>
      <c r="E96" s="3526">
        <v>102</v>
      </c>
      <c r="F96" s="3526">
        <v>103</v>
      </c>
      <c r="G96" s="3501"/>
      <c r="H96" s="3501"/>
      <c r="I96" s="3501"/>
      <c r="J96" s="3501"/>
      <c r="K96" s="3501"/>
      <c r="L96" s="3501"/>
      <c r="M96" s="3502"/>
      <c r="N96" s="3503"/>
      <c r="O96" s="3503"/>
      <c r="P96" s="3588"/>
      <c r="Q96" s="3482"/>
    </row>
    <row r="97" spans="1:17" ht="14.25" thickTop="1">
      <c r="A97" s="3499"/>
      <c r="B97" s="3504">
        <f>B31</f>
        <v>111</v>
      </c>
      <c r="C97" s="3520">
        <v>111</v>
      </c>
      <c r="D97" s="3520">
        <v>222</v>
      </c>
      <c r="E97" s="3520">
        <v>333</v>
      </c>
      <c r="F97" s="3520">
        <v>444</v>
      </c>
      <c r="G97" s="3551"/>
      <c r="H97" s="3551"/>
      <c r="I97" s="3551"/>
      <c r="J97" s="3551"/>
      <c r="K97" s="3552"/>
      <c r="L97" s="3553"/>
      <c r="M97" s="3554"/>
      <c r="N97" s="3498"/>
      <c r="O97" s="3498"/>
      <c r="P97" s="3588"/>
      <c r="Q97" s="3482"/>
    </row>
    <row r="98" spans="1:17" ht="15" thickBot="1">
      <c r="A98" s="3499"/>
      <c r="B98" s="3509"/>
      <c r="C98" s="3526">
        <v>100</v>
      </c>
      <c r="D98" s="3501">
        <v>101</v>
      </c>
      <c r="E98" s="3501">
        <v>102</v>
      </c>
      <c r="F98" s="3501">
        <v>103</v>
      </c>
      <c r="G98" s="3501"/>
      <c r="H98" s="3501"/>
      <c r="I98" s="3501"/>
      <c r="J98" s="3501"/>
      <c r="K98" s="3501"/>
      <c r="L98" s="3501"/>
      <c r="M98" s="3502"/>
      <c r="N98" s="3503"/>
      <c r="O98" s="3503"/>
      <c r="P98" s="3588"/>
      <c r="Q98" s="3482"/>
    </row>
    <row r="99" spans="1:17" ht="14.25" thickTop="1">
      <c r="A99" s="3499"/>
      <c r="B99" s="3512">
        <f>B32</f>
        <v>111</v>
      </c>
      <c r="C99" s="3485">
        <v>111</v>
      </c>
      <c r="D99" s="3485">
        <v>222</v>
      </c>
      <c r="E99" s="3485">
        <v>333</v>
      </c>
      <c r="F99" s="3485">
        <v>444</v>
      </c>
      <c r="G99" s="3555"/>
      <c r="H99" s="3555"/>
      <c r="I99" s="3555"/>
      <c r="J99" s="3555"/>
      <c r="K99" s="3556"/>
      <c r="L99" s="3557"/>
      <c r="M99" s="3558"/>
      <c r="N99" s="3498"/>
      <c r="O99" s="3498"/>
      <c r="P99" s="3588"/>
      <c r="Q99" s="3482"/>
    </row>
    <row r="100" spans="1:17" ht="15" thickBot="1">
      <c r="A100" s="3559"/>
      <c r="B100" s="3534"/>
      <c r="C100" s="3535">
        <v>100</v>
      </c>
      <c r="D100" s="3535">
        <v>98</v>
      </c>
      <c r="E100" s="3535">
        <v>96</v>
      </c>
      <c r="F100" s="3535">
        <v>94</v>
      </c>
      <c r="G100" s="3560"/>
      <c r="H100" s="3560"/>
      <c r="I100" s="3560"/>
      <c r="J100" s="3560"/>
      <c r="K100" s="3560"/>
      <c r="L100" s="3560"/>
      <c r="M100" s="3561"/>
      <c r="N100" s="3503"/>
      <c r="O100" s="3503"/>
      <c r="P100" s="3588"/>
      <c r="Q100" s="3482"/>
    </row>
    <row r="101" spans="1:17">
      <c r="A101" s="3491" t="s">
        <v>3863</v>
      </c>
      <c r="B101" s="3492" t="s">
        <v>3862</v>
      </c>
      <c r="C101" s="3494" t="s">
        <v>3861</v>
      </c>
      <c r="D101" s="3494" t="s">
        <v>3860</v>
      </c>
      <c r="E101" s="3494" t="s">
        <v>3859</v>
      </c>
      <c r="F101" s="3494" t="s">
        <v>3858</v>
      </c>
      <c r="G101" s="3494" t="s">
        <v>3857</v>
      </c>
      <c r="H101" s="3494" t="s">
        <v>3856</v>
      </c>
      <c r="I101" s="3494"/>
      <c r="J101" s="3494"/>
      <c r="K101" s="3495"/>
      <c r="L101" s="3496"/>
      <c r="M101" s="3497"/>
      <c r="N101" s="3498"/>
      <c r="O101" s="3498"/>
      <c r="P101" s="3588"/>
      <c r="Q101" s="3482"/>
    </row>
    <row r="102" spans="1:17" ht="15" thickBot="1">
      <c r="A102" s="3499"/>
      <c r="B102" s="3509"/>
      <c r="C102" s="3510">
        <v>100</v>
      </c>
      <c r="D102" s="3510">
        <f t="shared" ref="D102:M102" si="22">C102-$K33</f>
        <v>99</v>
      </c>
      <c r="E102" s="3510">
        <f t="shared" si="22"/>
        <v>98</v>
      </c>
      <c r="F102" s="3510">
        <f t="shared" si="22"/>
        <v>97</v>
      </c>
      <c r="G102" s="3510">
        <f t="shared" si="22"/>
        <v>96</v>
      </c>
      <c r="H102" s="3510">
        <f t="shared" si="22"/>
        <v>95</v>
      </c>
      <c r="I102" s="3510">
        <f t="shared" si="22"/>
        <v>94</v>
      </c>
      <c r="J102" s="3510">
        <f t="shared" si="22"/>
        <v>93</v>
      </c>
      <c r="K102" s="3510">
        <f t="shared" si="22"/>
        <v>92</v>
      </c>
      <c r="L102" s="3510">
        <f t="shared" si="22"/>
        <v>91</v>
      </c>
      <c r="M102" s="3511">
        <f t="shared" si="22"/>
        <v>90</v>
      </c>
      <c r="N102" s="3503"/>
      <c r="O102" s="3503"/>
      <c r="P102" s="3588"/>
      <c r="Q102" s="3482"/>
    </row>
    <row r="103" spans="1:17" ht="15" thickTop="1">
      <c r="A103" s="3499"/>
      <c r="B103" s="3504" t="s">
        <v>3761</v>
      </c>
      <c r="C103" s="3543" t="str">
        <f t="shared" ref="C103:L103" si="23">C104&amp;"(含)"&amp;"-"&amp;D104</f>
        <v>0(含)-</v>
      </c>
      <c r="D103" s="3543" t="str">
        <f t="shared" si="23"/>
        <v>(含)-</v>
      </c>
      <c r="E103" s="3543" t="str">
        <f t="shared" si="23"/>
        <v>(含)-</v>
      </c>
      <c r="F103" s="3543" t="str">
        <f t="shared" si="23"/>
        <v>(含)-</v>
      </c>
      <c r="G103" s="3543" t="str">
        <f t="shared" si="23"/>
        <v>(含)-</v>
      </c>
      <c r="H103" s="3543" t="str">
        <f t="shared" si="23"/>
        <v>(含)-</v>
      </c>
      <c r="I103" s="3543" t="str">
        <f t="shared" si="23"/>
        <v>(含)-</v>
      </c>
      <c r="J103" s="3543" t="str">
        <f t="shared" si="23"/>
        <v>(含)-</v>
      </c>
      <c r="K103" s="3543" t="str">
        <f t="shared" si="23"/>
        <v>(含)-</v>
      </c>
      <c r="L103" s="3543" t="str">
        <f t="shared" si="23"/>
        <v>(含)-</v>
      </c>
      <c r="M103" s="3562" t="str">
        <f>M104&amp;"(含)"&amp;"-"&amp;P104</f>
        <v>(含)-</v>
      </c>
      <c r="N103" s="3488"/>
      <c r="O103" s="3488"/>
      <c r="P103" s="3588"/>
      <c r="Q103" s="3482"/>
    </row>
    <row r="104" spans="1:17" s="3418" customFormat="1" ht="14.25">
      <c r="A104" s="3563"/>
      <c r="B104" s="3564"/>
      <c r="C104" s="3565">
        <v>0</v>
      </c>
      <c r="D104" s="3565"/>
      <c r="E104" s="3565"/>
      <c r="F104" s="3565"/>
      <c r="G104" s="3565"/>
      <c r="H104" s="3565"/>
      <c r="I104" s="3565"/>
      <c r="J104" s="3566"/>
      <c r="K104" s="3566"/>
      <c r="L104" s="3567"/>
      <c r="M104" s="3568"/>
      <c r="N104" s="3524"/>
      <c r="O104" s="3524"/>
      <c r="P104" s="3589"/>
      <c r="Q104" s="3525"/>
    </row>
    <row r="105" spans="1:17" s="3418" customFormat="1" ht="15" thickBot="1">
      <c r="A105" s="3519"/>
      <c r="B105" s="3509"/>
      <c r="C105" s="3526">
        <v>100</v>
      </c>
      <c r="D105" s="3501"/>
      <c r="E105" s="3501"/>
      <c r="F105" s="3501"/>
      <c r="G105" s="3501"/>
      <c r="H105" s="3501"/>
      <c r="I105" s="3501"/>
      <c r="J105" s="3501"/>
      <c r="K105" s="3501"/>
      <c r="L105" s="3501"/>
      <c r="M105" s="3502"/>
      <c r="N105" s="3503"/>
      <c r="O105" s="3503"/>
      <c r="P105" s="3589"/>
      <c r="Q105" s="3525"/>
    </row>
    <row r="106" spans="1:17" ht="14.25" thickTop="1">
      <c r="A106" s="3569"/>
      <c r="B106" s="3504" t="s">
        <v>3762</v>
      </c>
      <c r="C106" s="3520" t="s">
        <v>3763</v>
      </c>
      <c r="D106" s="3520" t="s">
        <v>3764</v>
      </c>
      <c r="E106" s="3551" t="s">
        <v>3855</v>
      </c>
      <c r="F106" s="3551"/>
      <c r="G106" s="3551"/>
      <c r="H106" s="3551"/>
      <c r="I106" s="3551"/>
      <c r="J106" s="3551"/>
      <c r="K106" s="3552"/>
      <c r="L106" s="3553"/>
      <c r="M106" s="3554"/>
      <c r="N106" s="3498"/>
      <c r="O106" s="3498"/>
      <c r="P106" s="3588"/>
      <c r="Q106" s="3482"/>
    </row>
    <row r="107" spans="1:17" ht="15" thickBot="1">
      <c r="A107" s="3499"/>
      <c r="B107" s="3509"/>
      <c r="C107" s="3510">
        <v>100</v>
      </c>
      <c r="D107" s="3510">
        <f t="shared" ref="D107:M107" si="24">C107-$K35</f>
        <v>98</v>
      </c>
      <c r="E107" s="3510">
        <f t="shared" si="24"/>
        <v>96</v>
      </c>
      <c r="F107" s="3510">
        <f t="shared" si="24"/>
        <v>94</v>
      </c>
      <c r="G107" s="3510">
        <f t="shared" si="24"/>
        <v>92</v>
      </c>
      <c r="H107" s="3510">
        <f t="shared" si="24"/>
        <v>90</v>
      </c>
      <c r="I107" s="3510">
        <f t="shared" si="24"/>
        <v>88</v>
      </c>
      <c r="J107" s="3510">
        <f t="shared" si="24"/>
        <v>86</v>
      </c>
      <c r="K107" s="3510">
        <f t="shared" si="24"/>
        <v>84</v>
      </c>
      <c r="L107" s="3510">
        <f t="shared" si="24"/>
        <v>82</v>
      </c>
      <c r="M107" s="3511">
        <f t="shared" si="24"/>
        <v>80</v>
      </c>
      <c r="N107" s="3503"/>
      <c r="O107" s="3503"/>
      <c r="P107" s="3588"/>
      <c r="Q107" s="3482"/>
    </row>
    <row r="108" spans="1:17" ht="14.25" thickTop="1">
      <c r="A108" s="3569"/>
      <c r="B108" s="3504" t="s">
        <v>3765</v>
      </c>
      <c r="C108" s="3520" t="s">
        <v>3766</v>
      </c>
      <c r="D108" s="3520" t="s">
        <v>3767</v>
      </c>
      <c r="E108" s="3520" t="s">
        <v>3768</v>
      </c>
      <c r="F108" s="3551" t="s">
        <v>3854</v>
      </c>
      <c r="G108" s="3551"/>
      <c r="H108" s="3551"/>
      <c r="I108" s="3551"/>
      <c r="J108" s="3551"/>
      <c r="K108" s="3552"/>
      <c r="L108" s="3553"/>
      <c r="M108" s="3554"/>
      <c r="N108" s="3498"/>
      <c r="O108" s="3498"/>
      <c r="P108" s="3588"/>
      <c r="Q108" s="3482"/>
    </row>
    <row r="109" spans="1:17" ht="15" thickBot="1">
      <c r="A109" s="3499"/>
      <c r="B109" s="3509"/>
      <c r="C109" s="3510">
        <v>100</v>
      </c>
      <c r="D109" s="3510">
        <f t="shared" ref="D109:M109" si="25">C109-$K36</f>
        <v>99</v>
      </c>
      <c r="E109" s="3510">
        <f t="shared" si="25"/>
        <v>98</v>
      </c>
      <c r="F109" s="3510">
        <f t="shared" si="25"/>
        <v>97</v>
      </c>
      <c r="G109" s="3510">
        <f t="shared" si="25"/>
        <v>96</v>
      </c>
      <c r="H109" s="3510">
        <f t="shared" si="25"/>
        <v>95</v>
      </c>
      <c r="I109" s="3510">
        <f t="shared" si="25"/>
        <v>94</v>
      </c>
      <c r="J109" s="3510">
        <f t="shared" si="25"/>
        <v>93</v>
      </c>
      <c r="K109" s="3510">
        <f t="shared" si="25"/>
        <v>92</v>
      </c>
      <c r="L109" s="3510">
        <f t="shared" si="25"/>
        <v>91</v>
      </c>
      <c r="M109" s="3511">
        <f t="shared" si="25"/>
        <v>90</v>
      </c>
      <c r="N109" s="3503"/>
      <c r="O109" s="3503"/>
      <c r="P109" s="3588"/>
      <c r="Q109" s="3482"/>
    </row>
    <row r="110" spans="1:17" ht="15" thickTop="1">
      <c r="A110" s="3569"/>
      <c r="B110" s="3504" t="s">
        <v>3769</v>
      </c>
      <c r="C110" s="3543" t="str">
        <f>C111&amp;"(含)"&amp;"-"&amp;D111</f>
        <v>0.5(含)-0.6</v>
      </c>
      <c r="D110" s="3543" t="str">
        <f>D111&amp;"(含)"&amp;"-"&amp;E111</f>
        <v>0.6(含)-0.7</v>
      </c>
      <c r="E110" s="3543" t="str">
        <f>E111&amp;"(含)"&amp;"-"&amp;F111</f>
        <v>0.7(含)-0.8</v>
      </c>
      <c r="F110" s="3543" t="str">
        <f>F111&amp;"(含)"&amp;"-"&amp;G111</f>
        <v>0.8(含)-0.9</v>
      </c>
      <c r="G110" s="3543" t="str">
        <f>G111&amp;"(含)"&amp;"-"&amp;ROUND(H111,0)&amp;"(含)"</f>
        <v>0.9(含)-1(含)</v>
      </c>
      <c r="H110" s="3543"/>
      <c r="I110" s="3551"/>
      <c r="J110" s="3551"/>
      <c r="K110" s="3552"/>
      <c r="L110" s="3553"/>
      <c r="M110" s="3554"/>
      <c r="N110" s="3498"/>
      <c r="O110" s="3498"/>
      <c r="P110" s="3588"/>
      <c r="Q110" s="3482"/>
    </row>
    <row r="111" spans="1:17" ht="14.25">
      <c r="A111" s="3569"/>
      <c r="B111" s="3512"/>
      <c r="C111" s="3215">
        <v>0.5</v>
      </c>
      <c r="D111" s="3215">
        <v>0.6</v>
      </c>
      <c r="E111" s="3215">
        <v>0.7</v>
      </c>
      <c r="F111" s="3215">
        <v>0.8</v>
      </c>
      <c r="G111" s="3215">
        <v>0.9</v>
      </c>
      <c r="H111" s="3215">
        <v>1.0001</v>
      </c>
      <c r="I111" s="3570"/>
      <c r="J111" s="3570"/>
      <c r="K111" s="3571"/>
      <c r="L111" s="3572"/>
      <c r="M111" s="3573"/>
      <c r="N111" s="3498"/>
      <c r="O111" s="3498"/>
      <c r="P111" s="3588"/>
      <c r="Q111" s="3482"/>
    </row>
    <row r="112" spans="1:17" ht="15" thickBot="1">
      <c r="A112" s="3499"/>
      <c r="B112" s="3509"/>
      <c r="C112" s="3550">
        <v>100</v>
      </c>
      <c r="D112" s="3510">
        <f t="shared" ref="D112:M112" si="26">C112+$K37</f>
        <v>101</v>
      </c>
      <c r="E112" s="3510">
        <f t="shared" si="26"/>
        <v>102</v>
      </c>
      <c r="F112" s="3510">
        <f t="shared" si="26"/>
        <v>103</v>
      </c>
      <c r="G112" s="3510">
        <f t="shared" si="26"/>
        <v>104</v>
      </c>
      <c r="H112" s="3510">
        <f t="shared" si="26"/>
        <v>105</v>
      </c>
      <c r="I112" s="3510">
        <f t="shared" si="26"/>
        <v>106</v>
      </c>
      <c r="J112" s="3510">
        <f t="shared" si="26"/>
        <v>107</v>
      </c>
      <c r="K112" s="3510">
        <f t="shared" si="26"/>
        <v>108</v>
      </c>
      <c r="L112" s="3510">
        <f t="shared" si="26"/>
        <v>109</v>
      </c>
      <c r="M112" s="3510">
        <f t="shared" si="26"/>
        <v>110</v>
      </c>
      <c r="N112" s="3503"/>
      <c r="O112" s="3503"/>
      <c r="P112" s="3588"/>
      <c r="Q112" s="3482"/>
    </row>
    <row r="113" spans="1:17" s="3418" customFormat="1" ht="14.25" thickTop="1">
      <c r="A113" s="3563"/>
      <c r="B113" s="3504" t="s">
        <v>3853</v>
      </c>
      <c r="C113" s="3520" t="s">
        <v>3852</v>
      </c>
      <c r="D113" s="3520" t="s">
        <v>3851</v>
      </c>
      <c r="E113" s="3520" t="s">
        <v>3850</v>
      </c>
      <c r="F113" s="3520"/>
      <c r="G113" s="3520"/>
      <c r="H113" s="3551"/>
      <c r="I113" s="3551"/>
      <c r="J113" s="3551"/>
      <c r="K113" s="3552"/>
      <c r="L113" s="3553"/>
      <c r="M113" s="3554"/>
      <c r="N113" s="3524"/>
      <c r="O113" s="3524"/>
      <c r="P113" s="3589"/>
      <c r="Q113" s="3525"/>
    </row>
    <row r="114" spans="1:17" s="3418" customFormat="1" ht="15" thickBot="1">
      <c r="A114" s="3519"/>
      <c r="B114" s="3509"/>
      <c r="C114" s="3510">
        <v>100</v>
      </c>
      <c r="D114" s="3510">
        <f t="shared" ref="D114:M114" si="27">C114-$K38</f>
        <v>96</v>
      </c>
      <c r="E114" s="3510">
        <f t="shared" si="27"/>
        <v>92</v>
      </c>
      <c r="F114" s="3510">
        <f t="shared" si="27"/>
        <v>88</v>
      </c>
      <c r="G114" s="3510">
        <f t="shared" si="27"/>
        <v>84</v>
      </c>
      <c r="H114" s="3510">
        <f t="shared" si="27"/>
        <v>80</v>
      </c>
      <c r="I114" s="3510">
        <f t="shared" si="27"/>
        <v>76</v>
      </c>
      <c r="J114" s="3510">
        <f t="shared" si="27"/>
        <v>72</v>
      </c>
      <c r="K114" s="3510">
        <f t="shared" si="27"/>
        <v>68</v>
      </c>
      <c r="L114" s="3510">
        <f t="shared" si="27"/>
        <v>64</v>
      </c>
      <c r="M114" s="3510">
        <f t="shared" si="27"/>
        <v>60</v>
      </c>
      <c r="N114" s="3524"/>
      <c r="O114" s="3524"/>
      <c r="P114" s="3589"/>
      <c r="Q114" s="3525"/>
    </row>
    <row r="115" spans="1:17" ht="14.25" thickTop="1">
      <c r="A115" s="3569"/>
      <c r="B115" s="3504" t="s">
        <v>3849</v>
      </c>
      <c r="C115" s="3520" t="s">
        <v>3848</v>
      </c>
      <c r="D115" s="3520" t="s">
        <v>3847</v>
      </c>
      <c r="E115" s="3551"/>
      <c r="F115" s="3551"/>
      <c r="G115" s="3551"/>
      <c r="H115" s="3551"/>
      <c r="I115" s="3551"/>
      <c r="J115" s="3551"/>
      <c r="K115" s="3552"/>
      <c r="L115" s="3553"/>
      <c r="M115" s="3554"/>
      <c r="N115" s="3498"/>
      <c r="O115" s="3498"/>
      <c r="P115" s="3588"/>
      <c r="Q115" s="3482"/>
    </row>
    <row r="116" spans="1:17" ht="15" thickBot="1">
      <c r="A116" s="3499"/>
      <c r="B116" s="3509"/>
      <c r="C116" s="3510">
        <v>100</v>
      </c>
      <c r="D116" s="3510">
        <f t="shared" ref="D116:M116" si="28">C116-$K39</f>
        <v>97</v>
      </c>
      <c r="E116" s="3510">
        <f t="shared" si="28"/>
        <v>94</v>
      </c>
      <c r="F116" s="3510">
        <f t="shared" si="28"/>
        <v>91</v>
      </c>
      <c r="G116" s="3510">
        <f t="shared" si="28"/>
        <v>88</v>
      </c>
      <c r="H116" s="3510">
        <f t="shared" si="28"/>
        <v>85</v>
      </c>
      <c r="I116" s="3510">
        <f t="shared" si="28"/>
        <v>82</v>
      </c>
      <c r="J116" s="3510">
        <f t="shared" si="28"/>
        <v>79</v>
      </c>
      <c r="K116" s="3510">
        <f t="shared" si="28"/>
        <v>76</v>
      </c>
      <c r="L116" s="3510">
        <f t="shared" si="28"/>
        <v>73</v>
      </c>
      <c r="M116" s="3511">
        <f t="shared" si="28"/>
        <v>70</v>
      </c>
      <c r="N116" s="3503"/>
      <c r="O116" s="3503"/>
      <c r="P116" s="3588"/>
      <c r="Q116" s="3482"/>
    </row>
    <row r="117" spans="1:17" ht="14.25" thickTop="1">
      <c r="A117" s="3569"/>
      <c r="B117" s="3504" t="s">
        <v>3846</v>
      </c>
      <c r="C117" s="3520" t="s">
        <v>3845</v>
      </c>
      <c r="D117" s="3520" t="s">
        <v>3844</v>
      </c>
      <c r="E117" s="3520" t="s">
        <v>3843</v>
      </c>
      <c r="F117" s="3520" t="s">
        <v>3842</v>
      </c>
      <c r="G117" s="3520" t="s">
        <v>3841</v>
      </c>
      <c r="H117" s="3551"/>
      <c r="I117" s="3551"/>
      <c r="J117" s="3551"/>
      <c r="K117" s="3552"/>
      <c r="L117" s="3553"/>
      <c r="M117" s="3554"/>
      <c r="N117" s="3498"/>
      <c r="O117" s="3498"/>
      <c r="P117" s="3588"/>
      <c r="Q117" s="3482"/>
    </row>
    <row r="118" spans="1:17" ht="15" thickBot="1">
      <c r="A118" s="3499"/>
      <c r="B118" s="3509"/>
      <c r="C118" s="3510">
        <v>100</v>
      </c>
      <c r="D118" s="3510">
        <f>C118-$K40</f>
        <v>99</v>
      </c>
      <c r="E118" s="3510">
        <f>D118-$K40</f>
        <v>98</v>
      </c>
      <c r="F118" s="3510">
        <f>E118-$K40</f>
        <v>97</v>
      </c>
      <c r="G118" s="3510">
        <f>F118-$K40</f>
        <v>96</v>
      </c>
      <c r="H118" s="3510"/>
      <c r="I118" s="3510"/>
      <c r="J118" s="3510"/>
      <c r="K118" s="3510"/>
      <c r="L118" s="3510"/>
      <c r="M118" s="3511"/>
      <c r="N118" s="3503"/>
      <c r="O118" s="3503"/>
      <c r="P118" s="3588"/>
      <c r="Q118" s="3482"/>
    </row>
    <row r="119" spans="1:17" ht="14.25" thickTop="1">
      <c r="A119" s="3569"/>
      <c r="B119" s="3596" t="s">
        <v>3840</v>
      </c>
      <c r="C119" s="3551" t="s">
        <v>3839</v>
      </c>
      <c r="D119" s="3551" t="s">
        <v>3838</v>
      </c>
      <c r="E119" s="3551"/>
      <c r="F119" s="3551"/>
      <c r="G119" s="3551"/>
      <c r="H119" s="3551"/>
      <c r="I119" s="3551"/>
      <c r="J119" s="3551"/>
      <c r="K119" s="3551"/>
      <c r="L119" s="3595"/>
      <c r="M119" s="3594"/>
      <c r="N119" s="3503"/>
      <c r="O119" s="3503"/>
      <c r="P119" s="3593"/>
      <c r="Q119" s="3592"/>
    </row>
    <row r="120" spans="1:17" ht="15" thickBot="1">
      <c r="A120" s="3499"/>
      <c r="B120" s="3509"/>
      <c r="C120" s="3550">
        <v>100</v>
      </c>
      <c r="D120" s="3510">
        <f t="shared" ref="D120:M120" si="29">C120-$K41</f>
        <v>98.5</v>
      </c>
      <c r="E120" s="3510">
        <f t="shared" si="29"/>
        <v>97</v>
      </c>
      <c r="F120" s="3510">
        <f t="shared" si="29"/>
        <v>95.5</v>
      </c>
      <c r="G120" s="3510">
        <f t="shared" si="29"/>
        <v>94</v>
      </c>
      <c r="H120" s="3510">
        <f t="shared" si="29"/>
        <v>92.5</v>
      </c>
      <c r="I120" s="3510">
        <f t="shared" si="29"/>
        <v>91</v>
      </c>
      <c r="J120" s="3510">
        <f t="shared" si="29"/>
        <v>89.5</v>
      </c>
      <c r="K120" s="3510">
        <f t="shared" si="29"/>
        <v>88</v>
      </c>
      <c r="L120" s="3510">
        <f t="shared" si="29"/>
        <v>86.5</v>
      </c>
      <c r="M120" s="3510">
        <f t="shared" si="29"/>
        <v>85</v>
      </c>
      <c r="N120" s="3503"/>
      <c r="O120" s="3503"/>
      <c r="P120" s="3588"/>
      <c r="Q120" s="3482"/>
    </row>
    <row r="121" spans="1:17" s="3418" customFormat="1" ht="15" thickTop="1">
      <c r="A121" s="3563"/>
      <c r="B121" s="3504" t="s">
        <v>3837</v>
      </c>
      <c r="C121" s="3591" t="s">
        <v>3836</v>
      </c>
      <c r="D121" s="3591" t="s">
        <v>3835</v>
      </c>
      <c r="E121" s="3591" t="s">
        <v>3834</v>
      </c>
      <c r="F121" s="3590" t="s">
        <v>3833</v>
      </c>
      <c r="G121" s="3574"/>
      <c r="H121" s="3574"/>
      <c r="I121" s="3574"/>
      <c r="J121" s="3574"/>
      <c r="K121" s="3574"/>
      <c r="L121" s="3575"/>
      <c r="M121" s="3576"/>
      <c r="N121" s="3524"/>
      <c r="O121" s="3524"/>
      <c r="P121" s="3589"/>
      <c r="Q121" s="3525"/>
    </row>
    <row r="122" spans="1:17" s="3418" customFormat="1" ht="15" thickBot="1">
      <c r="A122" s="3519"/>
      <c r="B122" s="3500"/>
      <c r="C122" s="3526">
        <v>100</v>
      </c>
      <c r="D122" s="3526">
        <v>105</v>
      </c>
      <c r="E122" s="3526">
        <v>103</v>
      </c>
      <c r="F122" s="3526">
        <v>98</v>
      </c>
      <c r="G122" s="3526"/>
      <c r="H122" s="3526"/>
      <c r="I122" s="3526"/>
      <c r="J122" s="3526"/>
      <c r="K122" s="3526"/>
      <c r="L122" s="3526"/>
      <c r="M122" s="3526"/>
      <c r="N122" s="3524"/>
      <c r="O122" s="3524"/>
      <c r="P122" s="3589"/>
      <c r="Q122" s="3525"/>
    </row>
    <row r="123" spans="1:17" ht="14.25" thickTop="1">
      <c r="A123" s="3569"/>
      <c r="B123" s="3504" t="s">
        <v>3832</v>
      </c>
      <c r="C123" s="3520" t="s">
        <v>3831</v>
      </c>
      <c r="D123" s="3520" t="s">
        <v>3830</v>
      </c>
      <c r="E123" s="3520" t="s">
        <v>3829</v>
      </c>
      <c r="F123" s="3551" t="s">
        <v>3828</v>
      </c>
      <c r="G123" s="3551"/>
      <c r="H123" s="3551"/>
      <c r="I123" s="3551"/>
      <c r="J123" s="3551"/>
      <c r="K123" s="3552"/>
      <c r="L123" s="3553"/>
      <c r="M123" s="3554"/>
      <c r="N123" s="3498"/>
      <c r="O123" s="3498"/>
      <c r="P123" s="3588"/>
      <c r="Q123" s="3482"/>
    </row>
    <row r="124" spans="1:17" ht="15" thickBot="1">
      <c r="A124" s="3499"/>
      <c r="B124" s="3509"/>
      <c r="C124" s="3510">
        <v>100</v>
      </c>
      <c r="D124" s="3510">
        <f t="shared" ref="D124:M124" si="30">C124-$K43</f>
        <v>99</v>
      </c>
      <c r="E124" s="3510">
        <f t="shared" si="30"/>
        <v>98</v>
      </c>
      <c r="F124" s="3510">
        <f t="shared" si="30"/>
        <v>97</v>
      </c>
      <c r="G124" s="3510">
        <f t="shared" si="30"/>
        <v>96</v>
      </c>
      <c r="H124" s="3510">
        <f t="shared" si="30"/>
        <v>95</v>
      </c>
      <c r="I124" s="3510">
        <f t="shared" si="30"/>
        <v>94</v>
      </c>
      <c r="J124" s="3510">
        <f t="shared" si="30"/>
        <v>93</v>
      </c>
      <c r="K124" s="3510">
        <f t="shared" si="30"/>
        <v>92</v>
      </c>
      <c r="L124" s="3510">
        <f t="shared" si="30"/>
        <v>91</v>
      </c>
      <c r="M124" s="3511">
        <f t="shared" si="30"/>
        <v>90</v>
      </c>
      <c r="N124" s="3503"/>
      <c r="O124" s="3503"/>
      <c r="P124" s="3588"/>
      <c r="Q124" s="3482"/>
    </row>
    <row r="125" spans="1:17" ht="27.75" thickTop="1">
      <c r="A125" s="3569"/>
      <c r="B125" s="3504" t="s">
        <v>3827</v>
      </c>
      <c r="C125" s="3543" t="s">
        <v>3826</v>
      </c>
      <c r="D125" s="3543" t="s">
        <v>3825</v>
      </c>
      <c r="E125" s="3543" t="s">
        <v>3824</v>
      </c>
      <c r="F125" s="3543" t="s">
        <v>3202</v>
      </c>
      <c r="G125" s="3543" t="s">
        <v>3823</v>
      </c>
      <c r="H125" s="3505"/>
      <c r="I125" s="3505"/>
      <c r="J125" s="3505"/>
      <c r="K125" s="3506"/>
      <c r="L125" s="3507"/>
      <c r="M125" s="3508"/>
      <c r="N125" s="3498"/>
      <c r="O125" s="3498"/>
      <c r="P125" s="3589"/>
      <c r="Q125" s="3482"/>
    </row>
    <row r="126" spans="1:17" ht="15" thickBot="1">
      <c r="A126" s="3499"/>
      <c r="B126" s="3509"/>
      <c r="C126" s="3510">
        <v>100</v>
      </c>
      <c r="D126" s="3510">
        <f>C126-$K44</f>
        <v>98</v>
      </c>
      <c r="E126" s="3510">
        <f>D126-$K44</f>
        <v>96</v>
      </c>
      <c r="F126" s="3510">
        <f>E126-$K44</f>
        <v>94</v>
      </c>
      <c r="G126" s="3510">
        <f>F126-$K44</f>
        <v>92</v>
      </c>
      <c r="H126" s="3510"/>
      <c r="I126" s="3510"/>
      <c r="J126" s="3510"/>
      <c r="K126" s="3510"/>
      <c r="L126" s="3510"/>
      <c r="M126" s="3511"/>
      <c r="N126" s="3503"/>
      <c r="O126" s="3503"/>
      <c r="P126" s="3588"/>
      <c r="Q126" s="3482"/>
    </row>
    <row r="127" spans="1:17" s="3418" customFormat="1" ht="14.25" thickTop="1">
      <c r="A127" s="3563"/>
      <c r="B127" s="3504" t="str">
        <f>B45</f>
        <v>智能环保系统</v>
      </c>
      <c r="C127" s="3520" t="s">
        <v>3946</v>
      </c>
      <c r="D127" s="3520" t="s">
        <v>3947</v>
      </c>
      <c r="E127" s="3520"/>
      <c r="F127" s="3520"/>
      <c r="G127" s="3520"/>
      <c r="H127" s="3521"/>
      <c r="I127" s="3521"/>
      <c r="J127" s="3521"/>
      <c r="K127" s="3521"/>
      <c r="L127" s="3522"/>
      <c r="M127" s="3523"/>
      <c r="N127" s="3524"/>
      <c r="O127" s="3524"/>
      <c r="P127" s="3589"/>
      <c r="Q127" s="3525"/>
    </row>
    <row r="128" spans="1:17" s="3418" customFormat="1" ht="15" thickBot="1">
      <c r="A128" s="3519"/>
      <c r="B128" s="3509"/>
      <c r="C128" s="3526">
        <v>100</v>
      </c>
      <c r="D128" s="3501">
        <v>95</v>
      </c>
      <c r="E128" s="3501"/>
      <c r="F128" s="3501"/>
      <c r="G128" s="3526"/>
      <c r="H128" s="3528"/>
      <c r="I128" s="3528"/>
      <c r="J128" s="3528"/>
      <c r="K128" s="3528"/>
      <c r="L128" s="3528"/>
      <c r="M128" s="3529"/>
      <c r="N128" s="3524"/>
      <c r="O128" s="3524"/>
      <c r="P128" s="3589"/>
      <c r="Q128" s="3525"/>
    </row>
    <row r="129" spans="1:17" ht="14.25" thickTop="1">
      <c r="A129" s="3569"/>
      <c r="B129" s="3504">
        <f>B46</f>
        <v>111</v>
      </c>
      <c r="C129" s="3520">
        <v>111</v>
      </c>
      <c r="D129" s="3520">
        <v>222</v>
      </c>
      <c r="E129" s="3520">
        <v>333</v>
      </c>
      <c r="F129" s="3520">
        <v>444</v>
      </c>
      <c r="G129" s="3551"/>
      <c r="H129" s="3551"/>
      <c r="I129" s="3551"/>
      <c r="J129" s="3551"/>
      <c r="K129" s="3552"/>
      <c r="L129" s="3553"/>
      <c r="M129" s="3554"/>
      <c r="N129" s="3498"/>
      <c r="O129" s="3498"/>
      <c r="P129" s="3588"/>
      <c r="Q129" s="3482"/>
    </row>
    <row r="130" spans="1:17" ht="15" thickBot="1">
      <c r="A130" s="3499"/>
      <c r="B130" s="3509"/>
      <c r="C130" s="3526">
        <v>100</v>
      </c>
      <c r="D130" s="3526">
        <v>101</v>
      </c>
      <c r="E130" s="3526">
        <v>102</v>
      </c>
      <c r="F130" s="3526">
        <v>103</v>
      </c>
      <c r="G130" s="3501"/>
      <c r="H130" s="3501"/>
      <c r="I130" s="3501"/>
      <c r="J130" s="3501"/>
      <c r="K130" s="3501"/>
      <c r="L130" s="3501"/>
      <c r="M130" s="3502"/>
      <c r="N130" s="3503"/>
      <c r="O130" s="3503"/>
      <c r="P130" s="3588"/>
      <c r="Q130" s="3482"/>
    </row>
    <row r="131" spans="1:17" ht="14.25" thickTop="1">
      <c r="A131" s="3569"/>
      <c r="B131" s="3512">
        <f>B47</f>
        <v>111</v>
      </c>
      <c r="C131" s="3485">
        <v>111</v>
      </c>
      <c r="D131" s="3485">
        <v>222</v>
      </c>
      <c r="E131" s="3485">
        <v>333</v>
      </c>
      <c r="F131" s="3485">
        <v>444</v>
      </c>
      <c r="G131" s="3555"/>
      <c r="H131" s="3555"/>
      <c r="I131" s="3555"/>
      <c r="J131" s="3555"/>
      <c r="K131" s="3485"/>
      <c r="L131" s="3486"/>
      <c r="M131" s="3558"/>
      <c r="N131" s="3498"/>
      <c r="O131" s="3498"/>
      <c r="P131" s="3588"/>
      <c r="Q131" s="3482"/>
    </row>
    <row r="132" spans="1:17" ht="15" thickBot="1">
      <c r="A132" s="3559"/>
      <c r="B132" s="3534"/>
      <c r="C132" s="3535">
        <v>100</v>
      </c>
      <c r="D132" s="3535">
        <v>98</v>
      </c>
      <c r="E132" s="3535">
        <v>96</v>
      </c>
      <c r="F132" s="3535">
        <v>94</v>
      </c>
      <c r="G132" s="3560"/>
      <c r="H132" s="3560"/>
      <c r="I132" s="3560"/>
      <c r="J132" s="3560"/>
      <c r="K132" s="3560"/>
      <c r="L132" s="3560"/>
      <c r="M132" s="3561"/>
      <c r="N132" s="3503"/>
      <c r="O132" s="3503"/>
      <c r="P132" s="3588"/>
      <c r="Q132" s="3482"/>
    </row>
  </sheetData>
  <sheetProtection password="C66D"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M24" zoomScale="90" zoomScaleNormal="90" workbookViewId="0">
      <selection activeCell="R47" sqref="R47:W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2643</v>
      </c>
      <c r="C1" s="1634" t="s">
        <v>2531</v>
      </c>
      <c r="D1" s="1621" t="s">
        <v>1378</v>
      </c>
      <c r="E1" s="2656"/>
      <c r="F1" s="2583" t="s">
        <v>3689</v>
      </c>
      <c r="G1" s="1631" t="s">
        <v>2644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2331</v>
      </c>
      <c r="B2" s="1417">
        <f>IF(C2="——",ROUND(C49*D3/10000,0),ROUND(C49*D3/10000,0)-D2)</f>
        <v>29589</v>
      </c>
      <c r="C2" s="2585" t="s">
        <v>70</v>
      </c>
      <c r="D2" s="1364" t="e">
        <f ca="1">SUMIF(INDIRECT("'"&amp;F2&amp;"'"&amp;"!A:A"),"承租人权益价值",INDIRECT("'"&amp;F2&amp;"'"&amp;"!c:c"))</f>
        <v>#REF!</v>
      </c>
      <c r="E2" s="2586" t="s">
        <v>2332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2333</v>
      </c>
      <c r="B3" s="609">
        <f>IF(C2="——",C49,ROUND(B2*10000/D3,0))</f>
        <v>59414</v>
      </c>
      <c r="C3" s="400" t="s">
        <v>2645</v>
      </c>
      <c r="D3" s="399">
        <f>IF(D1="",'数据-汇总表'!E3,SUMIF('数据-汇总表'!$C19:$C33,D1,'数据-汇总表'!$E19:$E33))</f>
        <v>4980.1000000000004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78" t="s">
        <v>2649</v>
      </c>
      <c r="AC4" s="3859" t="s">
        <v>2650</v>
      </c>
    </row>
    <row r="5" spans="1:29" ht="15">
      <c r="A5" s="404"/>
      <c r="B5" s="405"/>
      <c r="C5" s="3881" t="s">
        <v>2543</v>
      </c>
      <c r="D5" s="3882"/>
      <c r="E5" s="4013" t="s">
        <v>3938</v>
      </c>
      <c r="F5" s="3889"/>
      <c r="G5" s="4011" t="s">
        <v>3942</v>
      </c>
      <c r="H5" s="3882"/>
      <c r="I5" s="4011" t="s">
        <v>3949</v>
      </c>
      <c r="J5" s="3882"/>
      <c r="K5" s="610"/>
      <c r="L5" s="1129"/>
      <c r="M5" s="1130"/>
      <c r="N5" s="1130"/>
      <c r="O5" s="1130"/>
      <c r="P5" s="3868"/>
      <c r="Q5" s="3869"/>
      <c r="R5" s="3874"/>
      <c r="S5" s="3875"/>
      <c r="T5" s="3874"/>
      <c r="U5" s="3875"/>
      <c r="V5" s="3878"/>
      <c r="W5" s="3878"/>
      <c r="X5" s="1813"/>
      <c r="Y5" s="3874"/>
      <c r="Z5" s="3875"/>
      <c r="AA5" s="3860"/>
      <c r="AB5" s="3878"/>
      <c r="AC5" s="3860"/>
    </row>
    <row r="6" spans="1:29" ht="15.75" thickBot="1">
      <c r="A6" s="406"/>
      <c r="B6" s="407"/>
      <c r="C6" s="3879" t="s">
        <v>2547</v>
      </c>
      <c r="D6" s="3880"/>
      <c r="E6" s="4012" t="s">
        <v>3951</v>
      </c>
      <c r="F6" s="3887"/>
      <c r="G6" s="4010" t="s">
        <v>3948</v>
      </c>
      <c r="H6" s="3880"/>
      <c r="I6" s="4010" t="s">
        <v>3950</v>
      </c>
      <c r="J6" s="3880"/>
      <c r="K6" s="610" t="s">
        <v>2548</v>
      </c>
      <c r="L6" s="1129"/>
      <c r="M6" s="1130"/>
      <c r="N6" s="1130"/>
      <c r="O6" s="1130"/>
      <c r="P6" s="3870"/>
      <c r="Q6" s="3871"/>
      <c r="R6" s="3874"/>
      <c r="S6" s="3875"/>
      <c r="T6" s="3876"/>
      <c r="U6" s="3877"/>
      <c r="V6" s="3878"/>
      <c r="W6" s="3878"/>
      <c r="X6" s="1813"/>
      <c r="Y6" s="3876"/>
      <c r="Z6" s="3877"/>
      <c r="AA6" s="3861"/>
      <c r="AB6" s="3878"/>
      <c r="AC6" s="3861"/>
    </row>
    <row r="7" spans="1:29" s="117" customFormat="1" ht="15.75" thickBot="1">
      <c r="A7" s="408" t="s">
        <v>2549</v>
      </c>
      <c r="B7" s="409"/>
      <c r="C7" s="410">
        <f>'数据-取费表'!B2</f>
        <v>43110</v>
      </c>
      <c r="D7" s="411">
        <v>100</v>
      </c>
      <c r="E7" s="412">
        <v>43110</v>
      </c>
      <c r="F7" s="413">
        <f>SUMIF(58:58,YEAR(E7)&amp;"-"&amp;MONTH(E7),59:59)</f>
        <v>100</v>
      </c>
      <c r="G7" s="412">
        <v>43110</v>
      </c>
      <c r="H7" s="411">
        <f>SUMIF(58:58,YEAR(G7)&amp;"-"&amp;MONTH(G7),59:59)</f>
        <v>100</v>
      </c>
      <c r="I7" s="412">
        <v>43110</v>
      </c>
      <c r="J7" s="411">
        <f>SUMIF(58:58,YEAR(I7)&amp;"-"&amp;MONTH(I7),59:59)</f>
        <v>100</v>
      </c>
      <c r="K7" s="611"/>
      <c r="L7" s="1131"/>
      <c r="M7" s="1132"/>
      <c r="N7" s="1132"/>
      <c r="O7" s="1132"/>
      <c r="P7" s="3883" t="s">
        <v>2550</v>
      </c>
      <c r="Q7" s="3885"/>
      <c r="R7" s="770" t="s">
        <v>17</v>
      </c>
      <c r="S7" s="771">
        <f t="shared" ref="S7:S15" si="0">F7</f>
        <v>100</v>
      </c>
      <c r="T7" s="770" t="s">
        <v>17</v>
      </c>
      <c r="U7" s="771">
        <f t="shared" ref="U7:U15" si="1">H7</f>
        <v>100</v>
      </c>
      <c r="V7" s="770" t="s">
        <v>17</v>
      </c>
      <c r="W7" s="771">
        <f t="shared" ref="W7:W15" si="2">J7</f>
        <v>100</v>
      </c>
      <c r="X7" s="772"/>
      <c r="Y7" s="3883" t="s">
        <v>2550</v>
      </c>
      <c r="Z7" s="3884"/>
      <c r="AA7" s="773">
        <f>D7/F7</f>
        <v>1</v>
      </c>
      <c r="AB7" s="773">
        <f>D7/H7</f>
        <v>1</v>
      </c>
      <c r="AC7" s="773">
        <f>D7/J7</f>
        <v>1</v>
      </c>
    </row>
    <row r="8" spans="1:29" s="117" customFormat="1" ht="15.75" thickBot="1">
      <c r="A8" s="408" t="s">
        <v>2551</v>
      </c>
      <c r="B8" s="409"/>
      <c r="C8" s="414" t="s">
        <v>2653</v>
      </c>
      <c r="D8" s="411">
        <v>100</v>
      </c>
      <c r="E8" s="414" t="s">
        <v>3050</v>
      </c>
      <c r="F8" s="413">
        <f>SUMIF(61:61,E8,62:62)-SUMIF(61:61,C8,62:62)+100</f>
        <v>100</v>
      </c>
      <c r="G8" s="414" t="s">
        <v>3050</v>
      </c>
      <c r="H8" s="411">
        <f>SUMIF(61:61,G8,62:62)-SUMIF(61:61,C8,62:62)+100</f>
        <v>100</v>
      </c>
      <c r="I8" s="414" t="s">
        <v>3050</v>
      </c>
      <c r="J8" s="411">
        <f>SUMIF(61:61,I8,62:62)-SUMIF(61:61,C8,62:62)+100</f>
        <v>100</v>
      </c>
      <c r="K8" s="611"/>
      <c r="L8" s="1131"/>
      <c r="M8" s="1132"/>
      <c r="N8" s="1132"/>
      <c r="O8" s="1132"/>
      <c r="P8" s="3883" t="s">
        <v>2553</v>
      </c>
      <c r="Q8" s="3884"/>
      <c r="R8" s="770" t="s">
        <v>17</v>
      </c>
      <c r="S8" s="771">
        <f t="shared" si="0"/>
        <v>100</v>
      </c>
      <c r="T8" s="770" t="s">
        <v>17</v>
      </c>
      <c r="U8" s="771">
        <f t="shared" si="1"/>
        <v>100</v>
      </c>
      <c r="V8" s="770" t="s">
        <v>17</v>
      </c>
      <c r="W8" s="771">
        <f t="shared" si="2"/>
        <v>100</v>
      </c>
      <c r="X8" s="772"/>
      <c r="Y8" s="3883" t="s">
        <v>2553</v>
      </c>
      <c r="Z8" s="3884"/>
      <c r="AA8" s="773">
        <f t="shared" ref="AA8:AA46" si="3">D8/F8</f>
        <v>1</v>
      </c>
      <c r="AB8" s="773">
        <f t="shared" ref="AB8:AB46" si="4">D8/H8</f>
        <v>1</v>
      </c>
      <c r="AC8" s="773">
        <f t="shared" ref="AC8:AC46" si="5">D8/J8</f>
        <v>1</v>
      </c>
    </row>
    <row r="9" spans="1:29" s="117" customFormat="1">
      <c r="A9" s="415" t="s">
        <v>2554</v>
      </c>
      <c r="B9" s="71" t="s">
        <v>2555</v>
      </c>
      <c r="C9" s="3579" t="s">
        <v>3770</v>
      </c>
      <c r="D9" s="135">
        <v>100</v>
      </c>
      <c r="E9" s="3580" t="s">
        <v>3771</v>
      </c>
      <c r="F9" s="418">
        <f>SUMIF(63:63,E9,64:64)-SUMIF(63:63,C9,64:64)+100</f>
        <v>100</v>
      </c>
      <c r="G9" s="3580" t="s">
        <v>3771</v>
      </c>
      <c r="H9" s="135">
        <f>SUMIF(63:63,G9,64:64)-SUMIF(63:63,C9,64:64)+100</f>
        <v>100</v>
      </c>
      <c r="I9" s="3580" t="s">
        <v>3770</v>
      </c>
      <c r="J9" s="135">
        <f>SUMIF(63:63,I9,64:64)-SUMIF(63:63,C9,64:64)+100</f>
        <v>100</v>
      </c>
      <c r="K9" s="611"/>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75" thickBot="1">
      <c r="A10" s="421"/>
      <c r="B10" s="422" t="s">
        <v>2558</v>
      </c>
      <c r="C10" s="423" t="s">
        <v>3712</v>
      </c>
      <c r="D10" s="136">
        <v>100</v>
      </c>
      <c r="E10" s="424" t="s">
        <v>3712</v>
      </c>
      <c r="F10" s="425">
        <f>SUMIF(65:65,E10,66:66)-SUMIF(65:65,C10,66:66)+100</f>
        <v>100</v>
      </c>
      <c r="G10" s="423" t="s">
        <v>3712</v>
      </c>
      <c r="H10" s="136">
        <f>SUMIF(65:65,G10,66:66)-SUMIF(65:65,C10,66:66)+100</f>
        <v>100</v>
      </c>
      <c r="I10" s="423" t="s">
        <v>3712</v>
      </c>
      <c r="J10" s="136">
        <f>SUMIF(65:65,I10,66:66)-SUMIF(65:65,C10,66:66)+100</f>
        <v>100</v>
      </c>
      <c r="K10" s="612">
        <v>1</v>
      </c>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858"/>
      <c r="Q11" s="1795" t="str">
        <f t="shared" si="6"/>
        <v>容积率</v>
      </c>
      <c r="R11" s="770" t="s">
        <v>17</v>
      </c>
      <c r="S11" s="771">
        <f t="shared" si="0"/>
        <v>100</v>
      </c>
      <c r="T11" s="770" t="s">
        <v>17</v>
      </c>
      <c r="U11" s="771">
        <f t="shared" si="1"/>
        <v>100</v>
      </c>
      <c r="V11" s="770" t="s">
        <v>17</v>
      </c>
      <c r="W11" s="771">
        <f t="shared" si="2"/>
        <v>100</v>
      </c>
      <c r="X11" s="772"/>
      <c r="Y11" s="3702"/>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858"/>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858"/>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858"/>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42.75">
      <c r="A15" s="440" t="s">
        <v>2560</v>
      </c>
      <c r="B15" s="69" t="s">
        <v>2654</v>
      </c>
      <c r="C15" s="2602" t="str">
        <f>估价对象房地状况!C4</f>
        <v>周边商业氛围成熟，人流量大，商业繁华度好</v>
      </c>
      <c r="D15" s="441">
        <v>100</v>
      </c>
      <c r="E15" s="442"/>
      <c r="F15" s="443">
        <f>SUMIF(76:76,E16,77:77)-SUMIF(76:76,C16,77:77)+100</f>
        <v>97</v>
      </c>
      <c r="G15" s="444"/>
      <c r="H15" s="441">
        <f>SUMIF(76:76,G16,77:77)-SUMIF(76:76,C16,77:77)+100</f>
        <v>97</v>
      </c>
      <c r="I15" s="442"/>
      <c r="J15" s="441">
        <f>SUMIF(76:76,I16,77:77)-SUMIF(76:76,C16,77:77)+100</f>
        <v>97</v>
      </c>
      <c r="K15" s="614">
        <v>3</v>
      </c>
      <c r="L15" s="1139"/>
      <c r="M15" s="1130"/>
      <c r="N15" s="1130"/>
      <c r="O15" s="1130"/>
      <c r="P15" s="3856" t="s">
        <v>2561</v>
      </c>
      <c r="Q15" s="1810" t="str">
        <f t="shared" si="6"/>
        <v>商业繁华度</v>
      </c>
      <c r="R15" s="774" t="s">
        <v>17</v>
      </c>
      <c r="S15" s="775">
        <f t="shared" si="0"/>
        <v>97</v>
      </c>
      <c r="T15" s="774" t="s">
        <v>17</v>
      </c>
      <c r="U15" s="775">
        <f t="shared" si="1"/>
        <v>97</v>
      </c>
      <c r="V15" s="774" t="s">
        <v>17</v>
      </c>
      <c r="W15" s="775">
        <f t="shared" si="2"/>
        <v>97</v>
      </c>
      <c r="X15" s="1813"/>
      <c r="Y15" s="3849" t="s">
        <v>2561</v>
      </c>
      <c r="Z15" s="1814" t="str">
        <f t="shared" si="7"/>
        <v>商业繁华度</v>
      </c>
      <c r="AA15" s="1811">
        <f t="shared" si="3"/>
        <v>1.0309278350515463</v>
      </c>
      <c r="AB15" s="1811">
        <f t="shared" si="4"/>
        <v>1.0309278350515463</v>
      </c>
      <c r="AC15" s="1811">
        <f t="shared" si="5"/>
        <v>1.0309278350515463</v>
      </c>
    </row>
    <row r="16" spans="1:29" ht="15">
      <c r="A16" s="428"/>
      <c r="B16" s="446"/>
      <c r="C16" s="447" t="s">
        <v>3208</v>
      </c>
      <c r="D16" s="448"/>
      <c r="E16" s="447" t="s">
        <v>3205</v>
      </c>
      <c r="F16" s="449"/>
      <c r="G16" s="447" t="s">
        <v>3205</v>
      </c>
      <c r="H16" s="450"/>
      <c r="I16" s="447" t="s">
        <v>3205</v>
      </c>
      <c r="J16" s="448"/>
      <c r="K16" s="615"/>
      <c r="L16" s="1139"/>
      <c r="M16" s="1130"/>
      <c r="N16" s="1130"/>
      <c r="O16" s="1130"/>
      <c r="P16" s="3857"/>
      <c r="Q16" s="1810"/>
      <c r="R16" s="774"/>
      <c r="S16" s="775"/>
      <c r="T16" s="774"/>
      <c r="U16" s="775"/>
      <c r="V16" s="774"/>
      <c r="W16" s="775"/>
      <c r="X16" s="1813"/>
      <c r="Y16" s="3850"/>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2"/>
      <c r="F17" s="453">
        <f>SUMIF(78:78,E18,79:79)-SUMIF(78:78,C18,79:79)+100</f>
        <v>97</v>
      </c>
      <c r="G17" s="454"/>
      <c r="H17" s="455">
        <f>SUMIF(78:78,G18,79:79)-SUMIF(78:78,C18,79:79)+100</f>
        <v>97</v>
      </c>
      <c r="I17" s="452"/>
      <c r="J17" s="455">
        <f>SUMIF(78:78,I18,79:79)-SUMIF(78:78,C18,79:79)+100</f>
        <v>97</v>
      </c>
      <c r="K17" s="614">
        <v>3</v>
      </c>
      <c r="L17" s="1139"/>
      <c r="M17" s="1130"/>
      <c r="N17" s="1130"/>
      <c r="O17" s="1130"/>
      <c r="P17" s="3857"/>
      <c r="Q17" s="1810" t="str">
        <f>B17</f>
        <v>交通便捷度</v>
      </c>
      <c r="R17" s="774" t="s">
        <v>17</v>
      </c>
      <c r="S17" s="775">
        <f>F17</f>
        <v>97</v>
      </c>
      <c r="T17" s="774" t="s">
        <v>17</v>
      </c>
      <c r="U17" s="775">
        <f>H17</f>
        <v>97</v>
      </c>
      <c r="V17" s="774" t="s">
        <v>17</v>
      </c>
      <c r="W17" s="775">
        <f>J17</f>
        <v>97</v>
      </c>
      <c r="X17" s="1813"/>
      <c r="Y17" s="3850"/>
      <c r="Z17" s="1814" t="str">
        <f>Q17</f>
        <v>交通便捷度</v>
      </c>
      <c r="AA17" s="1811">
        <f t="shared" si="3"/>
        <v>1.0309278350515463</v>
      </c>
      <c r="AB17" s="1811">
        <f t="shared" si="4"/>
        <v>1.0309278350515463</v>
      </c>
      <c r="AC17" s="1811">
        <f t="shared" si="5"/>
        <v>1.0309278350515463</v>
      </c>
    </row>
    <row r="18" spans="1:29" ht="15">
      <c r="A18" s="428"/>
      <c r="B18" s="456"/>
      <c r="C18" s="2607" t="s">
        <v>3208</v>
      </c>
      <c r="D18" s="450"/>
      <c r="E18" s="2609" t="s">
        <v>3205</v>
      </c>
      <c r="F18" s="453"/>
      <c r="G18" s="2608" t="s">
        <v>3205</v>
      </c>
      <c r="H18" s="448"/>
      <c r="I18" s="2609" t="s">
        <v>3205</v>
      </c>
      <c r="J18" s="448"/>
      <c r="K18" s="615"/>
      <c r="L18" s="1139"/>
      <c r="M18" s="1130"/>
      <c r="N18" s="1130"/>
      <c r="O18" s="1130"/>
      <c r="P18" s="3857"/>
      <c r="Q18" s="1810"/>
      <c r="R18" s="774"/>
      <c r="S18" s="775"/>
      <c r="T18" s="774"/>
      <c r="U18" s="775"/>
      <c r="V18" s="774"/>
      <c r="W18" s="775"/>
      <c r="X18" s="1813"/>
      <c r="Y18" s="3850"/>
      <c r="Z18" s="1814"/>
      <c r="AA18" s="1811">
        <v>1</v>
      </c>
      <c r="AB18" s="1811">
        <v>1</v>
      </c>
      <c r="AC18" s="1811">
        <v>1</v>
      </c>
    </row>
    <row r="19" spans="1:29" ht="42.75">
      <c r="A19" s="428"/>
      <c r="B19" s="451" t="s">
        <v>2655</v>
      </c>
      <c r="C19" s="2606"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v>3</v>
      </c>
      <c r="L19" s="1139"/>
      <c r="M19" s="1130"/>
      <c r="N19" s="1130"/>
      <c r="O19" s="1130"/>
      <c r="P19" s="3857"/>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1811">
        <f t="shared" si="5"/>
        <v>1</v>
      </c>
    </row>
    <row r="20" spans="1:29" ht="15">
      <c r="A20" s="428"/>
      <c r="B20" s="456"/>
      <c r="C20" s="447" t="s">
        <v>3208</v>
      </c>
      <c r="D20" s="448"/>
      <c r="E20" s="2604" t="s">
        <v>3208</v>
      </c>
      <c r="F20" s="449"/>
      <c r="G20" s="2603" t="s">
        <v>3208</v>
      </c>
      <c r="H20" s="448"/>
      <c r="I20" s="2604" t="s">
        <v>3208</v>
      </c>
      <c r="J20" s="448"/>
      <c r="K20" s="615"/>
      <c r="L20" s="1139"/>
      <c r="M20" s="1130"/>
      <c r="N20" s="1130"/>
      <c r="O20" s="1130"/>
      <c r="P20" s="3857"/>
      <c r="Q20" s="1810"/>
      <c r="R20" s="774"/>
      <c r="S20" s="775"/>
      <c r="T20" s="774"/>
      <c r="U20" s="775"/>
      <c r="V20" s="774"/>
      <c r="W20" s="775"/>
      <c r="X20" s="1813"/>
      <c r="Y20" s="3850"/>
      <c r="Z20" s="1814"/>
      <c r="AA20" s="1811">
        <v>1</v>
      </c>
      <c r="AB20" s="1811">
        <v>1</v>
      </c>
      <c r="AC20" s="1811">
        <v>1</v>
      </c>
    </row>
    <row r="21" spans="1:29" ht="42.75">
      <c r="A21" s="428"/>
      <c r="B21" s="1383" t="s">
        <v>2656</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t="s">
        <v>3718</v>
      </c>
      <c r="D22" s="448"/>
      <c r="E22" s="447" t="s">
        <v>3718</v>
      </c>
      <c r="F22" s="449"/>
      <c r="G22" s="447" t="s">
        <v>3718</v>
      </c>
      <c r="H22" s="448"/>
      <c r="I22" s="447" t="s">
        <v>3718</v>
      </c>
      <c r="J22" s="448"/>
      <c r="K22" s="1382"/>
      <c r="L22" s="1139"/>
      <c r="M22" s="1130"/>
      <c r="N22" s="1130"/>
      <c r="O22" s="1130"/>
      <c r="P22" s="3857"/>
      <c r="Q22" s="1810"/>
      <c r="R22" s="774"/>
      <c r="S22" s="775"/>
      <c r="T22" s="774"/>
      <c r="U22" s="775"/>
      <c r="V22" s="774"/>
      <c r="W22" s="775"/>
      <c r="X22" s="1813"/>
      <c r="Y22" s="3850"/>
      <c r="Z22" s="1814"/>
      <c r="AA22" s="1811">
        <v>1</v>
      </c>
      <c r="AB22" s="1811">
        <v>1</v>
      </c>
      <c r="AC22" s="1811">
        <v>1</v>
      </c>
    </row>
    <row r="23" spans="1:29" ht="57">
      <c r="A23" s="428"/>
      <c r="B23" s="451" t="s">
        <v>2105</v>
      </c>
      <c r="C23" s="2663" t="str">
        <f>估价对象房地状况!C9</f>
        <v>区域自然环境好；人文环境好；综合评价环境状况好</v>
      </c>
      <c r="D23" s="450">
        <v>100</v>
      </c>
      <c r="E23" s="452"/>
      <c r="F23" s="453">
        <f>SUMIF(84:84,E24,85:85)-SUMIF(84:84,C24,85:85)+100</f>
        <v>97</v>
      </c>
      <c r="G23" s="454"/>
      <c r="H23" s="450">
        <f>SUMIF(84:84,G24,85:85)-SUMIF(84:84,C24,85:85)+100</f>
        <v>97</v>
      </c>
      <c r="I23" s="452"/>
      <c r="J23" s="450">
        <f>SUMIF(84:84,I24,85:85)-SUMIF(84:84,C24,85:85)+100</f>
        <v>97</v>
      </c>
      <c r="K23" s="614">
        <v>3</v>
      </c>
      <c r="L23" s="1139"/>
      <c r="M23" s="1130"/>
      <c r="N23" s="1130"/>
      <c r="O23" s="1130"/>
      <c r="P23" s="3857"/>
      <c r="Q23" s="1810" t="str">
        <f>B23</f>
        <v>自然及人文环境</v>
      </c>
      <c r="R23" s="774" t="s">
        <v>17</v>
      </c>
      <c r="S23" s="775">
        <f>F23</f>
        <v>97</v>
      </c>
      <c r="T23" s="774" t="s">
        <v>17</v>
      </c>
      <c r="U23" s="775">
        <f>H23</f>
        <v>97</v>
      </c>
      <c r="V23" s="774" t="s">
        <v>17</v>
      </c>
      <c r="W23" s="775">
        <f>J23</f>
        <v>97</v>
      </c>
      <c r="X23" s="1813"/>
      <c r="Y23" s="3850"/>
      <c r="Z23" s="1814" t="str">
        <f>Q23</f>
        <v>自然及人文环境</v>
      </c>
      <c r="AA23" s="1811">
        <f t="shared" si="3"/>
        <v>1.0309278350515463</v>
      </c>
      <c r="AB23" s="1811">
        <f t="shared" si="4"/>
        <v>1.0309278350515463</v>
      </c>
      <c r="AC23" s="1811">
        <f t="shared" si="5"/>
        <v>1.0309278350515463</v>
      </c>
    </row>
    <row r="24" spans="1:29" ht="15">
      <c r="A24" s="428"/>
      <c r="B24" s="456"/>
      <c r="C24" s="447" t="s">
        <v>3208</v>
      </c>
      <c r="D24" s="448"/>
      <c r="E24" s="2604" t="s">
        <v>3205</v>
      </c>
      <c r="F24" s="449"/>
      <c r="G24" s="2603" t="s">
        <v>3205</v>
      </c>
      <c r="H24" s="448"/>
      <c r="I24" s="2604" t="s">
        <v>3205</v>
      </c>
      <c r="J24" s="448"/>
      <c r="K24" s="615"/>
      <c r="L24" s="1139"/>
      <c r="M24" s="1130"/>
      <c r="N24" s="1130"/>
      <c r="O24" s="1130"/>
      <c r="P24" s="3857"/>
      <c r="Q24" s="1810"/>
      <c r="R24" s="774"/>
      <c r="S24" s="775"/>
      <c r="T24" s="774"/>
      <c r="U24" s="775"/>
      <c r="V24" s="774"/>
      <c r="W24" s="775"/>
      <c r="X24" s="1813"/>
      <c r="Y24" s="3850"/>
      <c r="Z24" s="1814"/>
      <c r="AA24" s="1811">
        <v>1</v>
      </c>
      <c r="AB24" s="1811">
        <v>1</v>
      </c>
      <c r="AC24" s="1811">
        <v>1</v>
      </c>
    </row>
    <row r="25" spans="1:29" ht="15">
      <c r="A25" s="428"/>
      <c r="B25" s="422" t="s">
        <v>2657</v>
      </c>
      <c r="C25" s="616" t="s">
        <v>3935</v>
      </c>
      <c r="D25" s="435">
        <v>100</v>
      </c>
      <c r="E25" s="616" t="s">
        <v>3719</v>
      </c>
      <c r="F25" s="461">
        <f>SUMIF(86:86,E25,87:87)-SUMIF(86:86,C25,87:87)+100</f>
        <v>98</v>
      </c>
      <c r="G25" s="616" t="s">
        <v>3719</v>
      </c>
      <c r="H25" s="435">
        <f>SUMIF(86:86,G25,87:87)-SUMIF(86:86,C25,87:87)+100</f>
        <v>98</v>
      </c>
      <c r="I25" s="616" t="s">
        <v>3719</v>
      </c>
      <c r="J25" s="435">
        <f>SUMIF(86:86,I25,87:87)-SUMIF(86:86,C25,87:87)+100</f>
        <v>98</v>
      </c>
      <c r="K25" s="612">
        <v>2</v>
      </c>
      <c r="L25" s="1139"/>
      <c r="M25" s="1130"/>
      <c r="N25" s="1130"/>
      <c r="O25" s="1130"/>
      <c r="P25" s="3857"/>
      <c r="Q25" s="1810" t="str">
        <f t="shared" ref="Q25:Q46" si="11">B25</f>
        <v>临街状况</v>
      </c>
      <c r="R25" s="774" t="s">
        <v>17</v>
      </c>
      <c r="S25" s="775">
        <f>F25</f>
        <v>98</v>
      </c>
      <c r="T25" s="774" t="s">
        <v>17</v>
      </c>
      <c r="U25" s="775">
        <f>H25</f>
        <v>98</v>
      </c>
      <c r="V25" s="774" t="s">
        <v>17</v>
      </c>
      <c r="W25" s="775">
        <f>J25</f>
        <v>98</v>
      </c>
      <c r="X25" s="1813"/>
      <c r="Y25" s="3850"/>
      <c r="Z25" s="1814" t="str">
        <f>Q25</f>
        <v>临街状况</v>
      </c>
      <c r="AA25" s="1811">
        <f t="shared" si="3"/>
        <v>1.0204081632653061</v>
      </c>
      <c r="AB25" s="1811">
        <f t="shared" si="4"/>
        <v>1.0204081632653061</v>
      </c>
      <c r="AC25" s="1811">
        <f t="shared" si="5"/>
        <v>1.0204081632653061</v>
      </c>
    </row>
    <row r="26" spans="1:29" ht="15">
      <c r="A26" s="428"/>
      <c r="B26" s="1385" t="s">
        <v>2658</v>
      </c>
      <c r="C26" s="3585" t="s">
        <v>3811</v>
      </c>
      <c r="D26" s="435">
        <v>100</v>
      </c>
      <c r="E26" s="3585" t="s">
        <v>3798</v>
      </c>
      <c r="F26" s="461">
        <f>SUMIF(88:88,E26,89:89)-SUMIF(88:88,C26,89:89)+100</f>
        <v>100</v>
      </c>
      <c r="G26" s="3585" t="s">
        <v>3798</v>
      </c>
      <c r="H26" s="435">
        <f>SUMIF(88:88,G26,89:89)-SUMIF(88:88,C26,89:89)+100</f>
        <v>100</v>
      </c>
      <c r="I26" s="3585" t="s">
        <v>3798</v>
      </c>
      <c r="J26" s="435">
        <f>SUMIF(88:88,I26,89:89)-SUMIF(88:88,C26,89:89)+100</f>
        <v>100</v>
      </c>
      <c r="K26" s="613"/>
      <c r="L26" s="1139"/>
      <c r="M26" s="1130"/>
      <c r="N26" s="1130"/>
      <c r="O26" s="1130"/>
      <c r="P26" s="3857"/>
      <c r="Q26" s="1810" t="str">
        <f t="shared" si="11"/>
        <v>平面位置/可视性</v>
      </c>
      <c r="R26" s="774" t="s">
        <v>17</v>
      </c>
      <c r="S26" s="775">
        <f>F26</f>
        <v>100</v>
      </c>
      <c r="T26" s="774" t="s">
        <v>17</v>
      </c>
      <c r="U26" s="775">
        <f>H26</f>
        <v>100</v>
      </c>
      <c r="V26" s="774" t="s">
        <v>17</v>
      </c>
      <c r="W26" s="775">
        <f>J26</f>
        <v>100</v>
      </c>
      <c r="X26" s="1813"/>
      <c r="Y26" s="3850"/>
      <c r="Z26" s="1814" t="str">
        <f>Q26</f>
        <v>平面位置/可视性</v>
      </c>
      <c r="AA26" s="1811">
        <f t="shared" si="3"/>
        <v>1</v>
      </c>
      <c r="AB26" s="1811">
        <f t="shared" si="4"/>
        <v>1</v>
      </c>
      <c r="AC26" s="1811">
        <f t="shared" si="5"/>
        <v>1</v>
      </c>
    </row>
    <row r="27" spans="1:29" s="117" customFormat="1" ht="15">
      <c r="A27" s="431"/>
      <c r="B27" s="451" t="s">
        <v>2659</v>
      </c>
      <c r="C27" s="2664" t="s">
        <v>3802</v>
      </c>
      <c r="D27" s="462">
        <v>100</v>
      </c>
      <c r="E27" s="2664" t="s">
        <v>3720</v>
      </c>
      <c r="F27" s="464">
        <f>SUMIF(90:90,E27,91:91)-SUMIF(90:90,C27,91:91)+100</f>
        <v>99</v>
      </c>
      <c r="G27" s="2664" t="s">
        <v>3720</v>
      </c>
      <c r="H27" s="462">
        <f>SUMIF(90:90,G27,91:91)-SUMIF(90:90,C27,91:91)+100</f>
        <v>99</v>
      </c>
      <c r="I27" s="2664" t="s">
        <v>3720</v>
      </c>
      <c r="J27" s="462">
        <f>SUMIF(90:90,I27,91:91)-SUMIF(90:90,C27,91:91)+100</f>
        <v>99</v>
      </c>
      <c r="K27" s="612">
        <v>1</v>
      </c>
      <c r="L27" s="1131"/>
      <c r="M27" s="1132"/>
      <c r="N27" s="1132"/>
      <c r="O27" s="1132"/>
      <c r="P27" s="3857"/>
      <c r="Q27" s="1795" t="str">
        <f t="shared" si="11"/>
        <v>人流量</v>
      </c>
      <c r="R27" s="770" t="s">
        <v>17</v>
      </c>
      <c r="S27" s="771">
        <f>F27</f>
        <v>99</v>
      </c>
      <c r="T27" s="770" t="s">
        <v>17</v>
      </c>
      <c r="U27" s="771">
        <f>H27</f>
        <v>99</v>
      </c>
      <c r="V27" s="770" t="s">
        <v>17</v>
      </c>
      <c r="W27" s="771">
        <f>J27</f>
        <v>99</v>
      </c>
      <c r="X27" s="772"/>
      <c r="Y27" s="3850"/>
      <c r="Z27" s="55" t="str">
        <f>Q27</f>
        <v>人流量</v>
      </c>
      <c r="AA27" s="1811">
        <f>D27/F27</f>
        <v>1.0101010101010102</v>
      </c>
      <c r="AB27" s="1811">
        <f>D27/H27</f>
        <v>1.0101010101010102</v>
      </c>
      <c r="AC27" s="1811">
        <f>D27/J27</f>
        <v>1.0101010101010102</v>
      </c>
    </row>
    <row r="28" spans="1:29" ht="15.75" thickBot="1">
      <c r="A28" s="428"/>
      <c r="B28" s="422" t="s">
        <v>2660</v>
      </c>
      <c r="C28" s="616" t="s">
        <v>3640</v>
      </c>
      <c r="D28" s="435">
        <v>100</v>
      </c>
      <c r="E28" s="616" t="s">
        <v>3640</v>
      </c>
      <c r="F28" s="461">
        <f>SUMIF(92:92,E28,93:93)-SUMIF(92:92,C28,93:93)+100</f>
        <v>100</v>
      </c>
      <c r="G28" s="616" t="s">
        <v>3640</v>
      </c>
      <c r="H28" s="435">
        <f>SUMIF(92:92,G28,93:93)-SUMIF(92:92,C28,93:93)+100</f>
        <v>100</v>
      </c>
      <c r="I28" s="616" t="s">
        <v>3640</v>
      </c>
      <c r="J28" s="435">
        <f>SUMIF(92:92,I28,93:93)-SUMIF(92:92,C28,93:93)+100</f>
        <v>100</v>
      </c>
      <c r="K28" s="613"/>
      <c r="L28" s="1139"/>
      <c r="M28" s="1130"/>
      <c r="N28" s="1130"/>
      <c r="O28" s="1130"/>
      <c r="P28" s="385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850"/>
      <c r="Z28" s="1814" t="str">
        <f t="shared" ref="Z28:Z46" si="15">Q28</f>
        <v>楼层</v>
      </c>
      <c r="AA28" s="1811">
        <f t="shared" si="3"/>
        <v>1</v>
      </c>
      <c r="AB28" s="1811">
        <f t="shared" si="4"/>
        <v>1</v>
      </c>
      <c r="AC28" s="1811">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857"/>
      <c r="Q29" s="1810">
        <f t="shared" si="11"/>
        <v>111</v>
      </c>
      <c r="R29" s="774" t="s">
        <v>17</v>
      </c>
      <c r="S29" s="775">
        <f t="shared" si="12"/>
        <v>100</v>
      </c>
      <c r="T29" s="774" t="s">
        <v>17</v>
      </c>
      <c r="U29" s="775">
        <f t="shared" si="13"/>
        <v>100</v>
      </c>
      <c r="V29" s="774" t="s">
        <v>17</v>
      </c>
      <c r="W29" s="775">
        <f t="shared" si="14"/>
        <v>100</v>
      </c>
      <c r="X29" s="1813"/>
      <c r="Y29" s="3850"/>
      <c r="Z29" s="1814">
        <f t="shared" si="15"/>
        <v>111</v>
      </c>
      <c r="AA29" s="1811">
        <f t="shared" si="3"/>
        <v>1</v>
      </c>
      <c r="AB29" s="1811">
        <f t="shared" si="4"/>
        <v>1</v>
      </c>
      <c r="AC29" s="1811">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857"/>
      <c r="Q30" s="1810">
        <f t="shared" si="11"/>
        <v>111</v>
      </c>
      <c r="R30" s="774" t="s">
        <v>17</v>
      </c>
      <c r="S30" s="775">
        <f t="shared" si="12"/>
        <v>100</v>
      </c>
      <c r="T30" s="774" t="s">
        <v>17</v>
      </c>
      <c r="U30" s="775">
        <f t="shared" si="13"/>
        <v>100</v>
      </c>
      <c r="V30" s="774" t="s">
        <v>17</v>
      </c>
      <c r="W30" s="775">
        <f t="shared" si="14"/>
        <v>100</v>
      </c>
      <c r="X30" s="1813"/>
      <c r="Y30" s="3850"/>
      <c r="Z30" s="1814">
        <f t="shared" si="15"/>
        <v>111</v>
      </c>
      <c r="AA30" s="1811">
        <f t="shared" si="3"/>
        <v>1</v>
      </c>
      <c r="AB30" s="1811">
        <f t="shared" si="4"/>
        <v>1</v>
      </c>
      <c r="AC30" s="1811">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857"/>
      <c r="Q31" s="1810">
        <f t="shared" si="11"/>
        <v>111</v>
      </c>
      <c r="R31" s="774" t="s">
        <v>17</v>
      </c>
      <c r="S31" s="775">
        <f t="shared" si="12"/>
        <v>100</v>
      </c>
      <c r="T31" s="774" t="s">
        <v>17</v>
      </c>
      <c r="U31" s="775">
        <f t="shared" si="13"/>
        <v>100</v>
      </c>
      <c r="V31" s="774" t="s">
        <v>17</v>
      </c>
      <c r="W31" s="775">
        <f t="shared" si="14"/>
        <v>100</v>
      </c>
      <c r="X31" s="1813"/>
      <c r="Y31" s="3850"/>
      <c r="Z31" s="1814">
        <f t="shared" si="15"/>
        <v>111</v>
      </c>
      <c r="AA31" s="1811">
        <f t="shared" si="3"/>
        <v>1</v>
      </c>
      <c r="AB31" s="1811">
        <f t="shared" si="4"/>
        <v>1</v>
      </c>
      <c r="AC31" s="1811">
        <f t="shared" si="5"/>
        <v>1</v>
      </c>
    </row>
    <row r="32" spans="1:29" ht="15">
      <c r="A32" s="440" t="s">
        <v>2564</v>
      </c>
      <c r="B32" s="71" t="s">
        <v>2661</v>
      </c>
      <c r="C32" s="2616" t="s">
        <v>3807</v>
      </c>
      <c r="D32" s="467">
        <v>100</v>
      </c>
      <c r="E32" s="2616" t="s">
        <v>3809</v>
      </c>
      <c r="F32" s="461">
        <f>SUMIF(100:100,E32,101:101)-SUMIF(100:100,C32,101:101)+100</f>
        <v>98</v>
      </c>
      <c r="G32" s="2616" t="s">
        <v>3809</v>
      </c>
      <c r="H32" s="435">
        <f>SUMIF(100:100,G32,101:101)-SUMIF(100:100,C32,101:101)+100</f>
        <v>98</v>
      </c>
      <c r="I32" s="2616" t="s">
        <v>3807</v>
      </c>
      <c r="J32" s="467">
        <f>SUMIF(100:100,I32,101:101)-SUMIF(100:100,C32,101:101)+100</f>
        <v>100</v>
      </c>
      <c r="K32" s="612">
        <v>2</v>
      </c>
      <c r="L32" s="1139"/>
      <c r="M32" s="1130"/>
      <c r="N32" s="1130"/>
      <c r="O32" s="1130"/>
      <c r="P32" s="3851" t="s">
        <v>2566</v>
      </c>
      <c r="Q32" s="1810" t="str">
        <f t="shared" si="11"/>
        <v>商业类型</v>
      </c>
      <c r="R32" s="774" t="s">
        <v>17</v>
      </c>
      <c r="S32" s="775">
        <f t="shared" si="12"/>
        <v>98</v>
      </c>
      <c r="T32" s="774" t="s">
        <v>17</v>
      </c>
      <c r="U32" s="775">
        <f t="shared" si="13"/>
        <v>98</v>
      </c>
      <c r="V32" s="774" t="s">
        <v>17</v>
      </c>
      <c r="W32" s="775">
        <f t="shared" si="14"/>
        <v>100</v>
      </c>
      <c r="X32" s="1813"/>
      <c r="Y32" s="3854" t="s">
        <v>2566</v>
      </c>
      <c r="Z32" s="1814" t="str">
        <f t="shared" si="15"/>
        <v>商业类型</v>
      </c>
      <c r="AA32" s="1811">
        <f t="shared" si="3"/>
        <v>1.0204081632653061</v>
      </c>
      <c r="AB32" s="1811">
        <f t="shared" si="4"/>
        <v>1.0204081632653061</v>
      </c>
      <c r="AC32" s="1811">
        <f t="shared" si="5"/>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852"/>
      <c r="Q33" s="776" t="str">
        <f t="shared" si="11"/>
        <v>项目建筑规模</v>
      </c>
      <c r="R33" s="777" t="s">
        <v>17</v>
      </c>
      <c r="S33" s="778">
        <f t="shared" si="12"/>
        <v>100</v>
      </c>
      <c r="T33" s="777" t="s">
        <v>17</v>
      </c>
      <c r="U33" s="778">
        <f t="shared" si="13"/>
        <v>100</v>
      </c>
      <c r="V33" s="777" t="s">
        <v>17</v>
      </c>
      <c r="W33" s="778">
        <f t="shared" si="14"/>
        <v>100</v>
      </c>
      <c r="X33" s="779"/>
      <c r="Y33" s="3854"/>
      <c r="Z33" s="780" t="str">
        <f t="shared" si="15"/>
        <v>项目建筑规模</v>
      </c>
      <c r="AA33" s="1811">
        <f t="shared" si="3"/>
        <v>1</v>
      </c>
      <c r="AB33" s="1811">
        <f t="shared" si="4"/>
        <v>1</v>
      </c>
      <c r="AC33" s="1811">
        <f t="shared" si="5"/>
        <v>1</v>
      </c>
    </row>
    <row r="34" spans="1:29" ht="15">
      <c r="A34" s="472"/>
      <c r="B34" s="422" t="s">
        <v>2568</v>
      </c>
      <c r="C34" s="2618" t="s">
        <v>3675</v>
      </c>
      <c r="D34" s="435">
        <v>100</v>
      </c>
      <c r="E34" s="2618" t="s">
        <v>3675</v>
      </c>
      <c r="F34" s="461">
        <f>SUMIF(105:105,E34,106:106)-SUMIF(105:105,C34,106:106)+100</f>
        <v>100</v>
      </c>
      <c r="G34" s="2618" t="s">
        <v>3675</v>
      </c>
      <c r="H34" s="435">
        <f>SUMIF(105:105,G34,106:106)-SUMIF(105:105,C34,106:106)+100</f>
        <v>100</v>
      </c>
      <c r="I34" s="2618" t="s">
        <v>3675</v>
      </c>
      <c r="J34" s="435">
        <f>SUMIF(105:105,I34,106:106)-SUMIF(105:105,C34,106:106)+100</f>
        <v>100</v>
      </c>
      <c r="K34" s="612">
        <v>1</v>
      </c>
      <c r="L34" s="1139"/>
      <c r="M34" s="1130"/>
      <c r="N34" s="1130"/>
      <c r="O34" s="1130"/>
      <c r="P34" s="3852"/>
      <c r="Q34" s="1810" t="str">
        <f t="shared" si="11"/>
        <v>建筑结构</v>
      </c>
      <c r="R34" s="774" t="s">
        <v>17</v>
      </c>
      <c r="S34" s="775">
        <f t="shared" si="12"/>
        <v>100</v>
      </c>
      <c r="T34" s="774" t="s">
        <v>17</v>
      </c>
      <c r="U34" s="775">
        <f t="shared" si="13"/>
        <v>100</v>
      </c>
      <c r="V34" s="774" t="s">
        <v>17</v>
      </c>
      <c r="W34" s="775">
        <f t="shared" si="14"/>
        <v>100</v>
      </c>
      <c r="X34" s="1813"/>
      <c r="Y34" s="3854"/>
      <c r="Z34" s="1814" t="str">
        <f t="shared" si="15"/>
        <v>建筑结构</v>
      </c>
      <c r="AA34" s="1811">
        <f t="shared" si="3"/>
        <v>1</v>
      </c>
      <c r="AB34" s="1811">
        <f t="shared" si="4"/>
        <v>1</v>
      </c>
      <c r="AC34" s="1811">
        <f t="shared" si="5"/>
        <v>1</v>
      </c>
    </row>
    <row r="35" spans="1:29" ht="15">
      <c r="A35" s="472"/>
      <c r="B35" s="422" t="s">
        <v>2662</v>
      </c>
      <c r="C35" s="2612" t="s">
        <v>3779</v>
      </c>
      <c r="D35" s="435">
        <v>100</v>
      </c>
      <c r="E35" s="2612" t="s">
        <v>3779</v>
      </c>
      <c r="F35" s="461">
        <f>SUMIF(107:107,E35,108:108)-SUMIF(107:107,C35,108:108)+100</f>
        <v>100</v>
      </c>
      <c r="G35" s="2612" t="s">
        <v>3779</v>
      </c>
      <c r="H35" s="435">
        <f>SUMIF(107:107,G35,108:108)-SUMIF(107:107,C35,108:108)+100</f>
        <v>100</v>
      </c>
      <c r="I35" s="2612" t="s">
        <v>3779</v>
      </c>
      <c r="J35" s="435">
        <f>SUMIF(107:107,I35,108:108)-SUMIF(107:107,C35,108:108)+100</f>
        <v>100</v>
      </c>
      <c r="K35" s="612">
        <v>1</v>
      </c>
      <c r="L35" s="1139"/>
      <c r="M35" s="1130"/>
      <c r="N35" s="1130"/>
      <c r="O35" s="1130"/>
      <c r="P35" s="3852"/>
      <c r="Q35" s="1810" t="str">
        <f t="shared" si="11"/>
        <v>公共部分装修</v>
      </c>
      <c r="R35" s="774" t="s">
        <v>17</v>
      </c>
      <c r="S35" s="775">
        <f t="shared" si="12"/>
        <v>100</v>
      </c>
      <c r="T35" s="774" t="s">
        <v>17</v>
      </c>
      <c r="U35" s="775">
        <f t="shared" si="13"/>
        <v>100</v>
      </c>
      <c r="V35" s="774" t="s">
        <v>17</v>
      </c>
      <c r="W35" s="775">
        <f t="shared" si="14"/>
        <v>100</v>
      </c>
      <c r="X35" s="1813"/>
      <c r="Y35" s="3854"/>
      <c r="Z35" s="1814" t="str">
        <f t="shared" si="15"/>
        <v>公共部分装修</v>
      </c>
      <c r="AA35" s="1811">
        <f t="shared" si="3"/>
        <v>1</v>
      </c>
      <c r="AB35" s="1811">
        <f t="shared" si="4"/>
        <v>1</v>
      </c>
      <c r="AC35" s="1811">
        <f t="shared" si="5"/>
        <v>1</v>
      </c>
    </row>
    <row r="36" spans="1:29" ht="15">
      <c r="A36" s="472"/>
      <c r="B36" s="422" t="s">
        <v>2663</v>
      </c>
      <c r="C36" s="474">
        <v>1</v>
      </c>
      <c r="D36" s="435">
        <v>100</v>
      </c>
      <c r="E36" s="474">
        <v>0.85</v>
      </c>
      <c r="F36" s="461">
        <f>LOOKUP(E36,110:110,111:111)-LOOKUP(C36,110:110,111:111)+100</f>
        <v>99</v>
      </c>
      <c r="G36" s="474">
        <v>0.85</v>
      </c>
      <c r="H36" s="461">
        <f>LOOKUP(G36,110:110,111:111)-LOOKUP(C36,110:110,111:111)+100</f>
        <v>99</v>
      </c>
      <c r="I36" s="474">
        <v>0.85</v>
      </c>
      <c r="J36" s="435">
        <f>LOOKUP(I36,110:110,111:111)-LOOKUP(C36,110:110,111:111)+100</f>
        <v>99</v>
      </c>
      <c r="K36" s="612">
        <v>1</v>
      </c>
      <c r="L36" s="1139"/>
      <c r="M36" s="1130"/>
      <c r="N36" s="1130"/>
      <c r="O36" s="1130"/>
      <c r="P36" s="3852"/>
      <c r="Q36" s="1810" t="str">
        <f t="shared" si="11"/>
        <v>成新度</v>
      </c>
      <c r="R36" s="774" t="s">
        <v>17</v>
      </c>
      <c r="S36" s="775">
        <f t="shared" si="12"/>
        <v>99</v>
      </c>
      <c r="T36" s="774" t="s">
        <v>17</v>
      </c>
      <c r="U36" s="775">
        <f t="shared" si="13"/>
        <v>99</v>
      </c>
      <c r="V36" s="774" t="s">
        <v>17</v>
      </c>
      <c r="W36" s="775">
        <f t="shared" si="14"/>
        <v>99</v>
      </c>
      <c r="X36" s="1813"/>
      <c r="Y36" s="3854"/>
      <c r="Z36" s="1814" t="str">
        <f t="shared" si="15"/>
        <v>成新度</v>
      </c>
      <c r="AA36" s="1811">
        <f t="shared" si="3"/>
        <v>1.0101010101010102</v>
      </c>
      <c r="AB36" s="1811">
        <f t="shared" si="4"/>
        <v>1.0101010101010102</v>
      </c>
      <c r="AC36" s="1811">
        <f t="shared" si="5"/>
        <v>1.0101010101010102</v>
      </c>
    </row>
    <row r="37" spans="1:29" s="117" customFormat="1" ht="15">
      <c r="A37" s="473"/>
      <c r="B37" s="422" t="s">
        <v>2664</v>
      </c>
      <c r="C37" s="2612" t="s">
        <v>3718</v>
      </c>
      <c r="D37" s="136">
        <v>100</v>
      </c>
      <c r="E37" s="2612" t="s">
        <v>3718</v>
      </c>
      <c r="F37" s="461">
        <f>SUMIF(112:112,E37,113:113)-SUMIF(112:112,C37,113:113)+100</f>
        <v>100</v>
      </c>
      <c r="G37" s="2612" t="s">
        <v>3718</v>
      </c>
      <c r="H37" s="435">
        <f>SUMIF(112:112,G37,113:113)-SUMIF(112:112,C37,113:113)+100</f>
        <v>100</v>
      </c>
      <c r="I37" s="2612" t="s">
        <v>3718</v>
      </c>
      <c r="J37" s="435">
        <f>SUMIF(112:112,I37,113:113)-SUMIF(112:112,C37,113:113)+100</f>
        <v>100</v>
      </c>
      <c r="K37" s="612">
        <v>1</v>
      </c>
      <c r="L37" s="1131"/>
      <c r="M37" s="1132"/>
      <c r="N37" s="1132"/>
      <c r="O37" s="1132"/>
      <c r="P37" s="3852"/>
      <c r="Q37" s="1795" t="str">
        <f t="shared" si="11"/>
        <v>市政基础设施</v>
      </c>
      <c r="R37" s="770" t="s">
        <v>17</v>
      </c>
      <c r="S37" s="771">
        <f t="shared" si="12"/>
        <v>100</v>
      </c>
      <c r="T37" s="770" t="s">
        <v>17</v>
      </c>
      <c r="U37" s="771">
        <f t="shared" si="13"/>
        <v>100</v>
      </c>
      <c r="V37" s="770" t="s">
        <v>17</v>
      </c>
      <c r="W37" s="771">
        <f t="shared" si="14"/>
        <v>100</v>
      </c>
      <c r="X37" s="772"/>
      <c r="Y37" s="3854"/>
      <c r="Z37" s="55" t="str">
        <f t="shared" si="15"/>
        <v>市政基础设施</v>
      </c>
      <c r="AA37" s="773">
        <f t="shared" si="3"/>
        <v>1</v>
      </c>
      <c r="AB37" s="773">
        <f t="shared" si="4"/>
        <v>1</v>
      </c>
      <c r="AC37" s="773">
        <f t="shared" si="5"/>
        <v>1</v>
      </c>
    </row>
    <row r="38" spans="1:29" ht="15">
      <c r="A38" s="472"/>
      <c r="B38" s="422" t="s">
        <v>2665</v>
      </c>
      <c r="C38" s="2612" t="s">
        <v>3785</v>
      </c>
      <c r="D38" s="435">
        <v>100</v>
      </c>
      <c r="E38" s="2612" t="s">
        <v>3728</v>
      </c>
      <c r="F38" s="461">
        <f>SUMIF(114:114,E38,115:115)-SUMIF(114:114,C38,115:115)+100</f>
        <v>95</v>
      </c>
      <c r="G38" s="2612" t="s">
        <v>3728</v>
      </c>
      <c r="H38" s="435">
        <f>SUMIF(114:114,G38,115:115)-SUMIF(114:114,C38,115:115)+100</f>
        <v>95</v>
      </c>
      <c r="I38" s="2612" t="s">
        <v>3728</v>
      </c>
      <c r="J38" s="435">
        <f>SUMIF(114:114,I38,115:115)-SUMIF(114:114,C38,115:115)+100</f>
        <v>95</v>
      </c>
      <c r="K38" s="612">
        <v>5</v>
      </c>
      <c r="L38" s="1139"/>
      <c r="M38" s="1130"/>
      <c r="N38" s="1130"/>
      <c r="O38" s="1130"/>
      <c r="P38" s="3852" t="s">
        <v>2566</v>
      </c>
      <c r="Q38" s="1810" t="str">
        <f t="shared" si="11"/>
        <v>业态</v>
      </c>
      <c r="R38" s="774" t="s">
        <v>17</v>
      </c>
      <c r="S38" s="775">
        <f t="shared" si="12"/>
        <v>95</v>
      </c>
      <c r="T38" s="774" t="s">
        <v>17</v>
      </c>
      <c r="U38" s="775">
        <f t="shared" si="13"/>
        <v>95</v>
      </c>
      <c r="V38" s="774" t="s">
        <v>17</v>
      </c>
      <c r="W38" s="775">
        <f t="shared" si="14"/>
        <v>95</v>
      </c>
      <c r="X38" s="1813"/>
      <c r="Y38" s="3854" t="s">
        <v>2566</v>
      </c>
      <c r="Z38" s="1814" t="str">
        <f t="shared" si="15"/>
        <v>业态</v>
      </c>
      <c r="AA38" s="1811">
        <f t="shared" si="3"/>
        <v>1.0526315789473684</v>
      </c>
      <c r="AB38" s="1811">
        <f t="shared" si="4"/>
        <v>1.0526315789473684</v>
      </c>
      <c r="AC38" s="1811">
        <f t="shared" si="5"/>
        <v>1.0526315789473684</v>
      </c>
    </row>
    <row r="39" spans="1:29" ht="15">
      <c r="A39" s="472"/>
      <c r="B39" s="422" t="s">
        <v>2666</v>
      </c>
      <c r="C39" s="2612" t="s">
        <v>3773</v>
      </c>
      <c r="D39" s="435">
        <v>100</v>
      </c>
      <c r="E39" s="2612" t="s">
        <v>3775</v>
      </c>
      <c r="F39" s="461">
        <f>SUMIF(116:116,E39,117:117)-SUMIF(116:116,C39,117:117)+100</f>
        <v>95</v>
      </c>
      <c r="G39" s="2612" t="s">
        <v>3775</v>
      </c>
      <c r="H39" s="435">
        <f>SUMIF(116:116,G39,117:117)-SUMIF(116:116,C39,117:117)+100</f>
        <v>95</v>
      </c>
      <c r="I39" s="2612" t="s">
        <v>3775</v>
      </c>
      <c r="J39" s="435">
        <f>SUMIF(116:116,I39,117:117)-SUMIF(116:116,C39,117:117)+100</f>
        <v>95</v>
      </c>
      <c r="K39" s="612">
        <v>5</v>
      </c>
      <c r="L39" s="1139"/>
      <c r="M39" s="1130"/>
      <c r="N39" s="1130"/>
      <c r="O39" s="1130"/>
      <c r="P39" s="3852"/>
      <c r="Q39" s="1810" t="str">
        <f t="shared" si="11"/>
        <v>层高</v>
      </c>
      <c r="R39" s="774" t="s">
        <v>17</v>
      </c>
      <c r="S39" s="775">
        <f t="shared" si="12"/>
        <v>95</v>
      </c>
      <c r="T39" s="774" t="s">
        <v>17</v>
      </c>
      <c r="U39" s="775">
        <f t="shared" si="13"/>
        <v>95</v>
      </c>
      <c r="V39" s="774" t="s">
        <v>17</v>
      </c>
      <c r="W39" s="775">
        <f t="shared" si="14"/>
        <v>95</v>
      </c>
      <c r="X39" s="1813"/>
      <c r="Y39" s="3854"/>
      <c r="Z39" s="1814" t="str">
        <f t="shared" si="15"/>
        <v>层高</v>
      </c>
      <c r="AA39" s="1811">
        <f t="shared" si="3"/>
        <v>1.0526315789473684</v>
      </c>
      <c r="AB39" s="1811">
        <f t="shared" si="4"/>
        <v>1.0526315789473684</v>
      </c>
      <c r="AC39" s="1811">
        <f t="shared" si="5"/>
        <v>1.0526315789473684</v>
      </c>
    </row>
    <row r="40" spans="1:29" ht="15">
      <c r="A40" s="472"/>
      <c r="B40" s="422" t="s">
        <v>2667</v>
      </c>
      <c r="C40" s="617"/>
      <c r="D40" s="435">
        <v>100</v>
      </c>
      <c r="E40" s="618">
        <v>237</v>
      </c>
      <c r="F40" s="461">
        <f>SUMIF(118:118,E40,119:119)-SUMIF(118:118,C40,119:119)+100</f>
        <v>100</v>
      </c>
      <c r="G40" s="618">
        <v>150</v>
      </c>
      <c r="H40" s="435">
        <f>SUMIF(118:118,G40,119:119)-SUMIF(118:118,C40,119:119)+100</f>
        <v>100</v>
      </c>
      <c r="I40" s="618">
        <v>120</v>
      </c>
      <c r="J40" s="435">
        <f>SUMIF(118:118,I40,119:119)-SUMIF(118:118,C40,119:119)+100</f>
        <v>100</v>
      </c>
      <c r="K40" s="613"/>
      <c r="L40" s="1139"/>
      <c r="M40" s="1130"/>
      <c r="N40" s="1130"/>
      <c r="O40" s="1130"/>
      <c r="P40" s="3852"/>
      <c r="Q40" s="1810" t="str">
        <f t="shared" si="11"/>
        <v>单套建筑面积</v>
      </c>
      <c r="R40" s="774" t="s">
        <v>17</v>
      </c>
      <c r="S40" s="775">
        <f t="shared" si="12"/>
        <v>100</v>
      </c>
      <c r="T40" s="774" t="s">
        <v>17</v>
      </c>
      <c r="U40" s="775">
        <f t="shared" si="13"/>
        <v>100</v>
      </c>
      <c r="V40" s="774" t="s">
        <v>17</v>
      </c>
      <c r="W40" s="775">
        <f t="shared" si="14"/>
        <v>100</v>
      </c>
      <c r="X40" s="1813"/>
      <c r="Y40" s="3854"/>
      <c r="Z40" s="1814" t="str">
        <f t="shared" si="15"/>
        <v>单套建筑面积</v>
      </c>
      <c r="AA40" s="1811">
        <f t="shared" si="3"/>
        <v>1</v>
      </c>
      <c r="AB40" s="1811">
        <f t="shared" si="4"/>
        <v>1</v>
      </c>
      <c r="AC40" s="1811">
        <f t="shared" si="5"/>
        <v>1</v>
      </c>
    </row>
    <row r="41" spans="1:29" s="471" customFormat="1" ht="15">
      <c r="A41" s="468"/>
      <c r="B41" s="1812" t="s">
        <v>2668</v>
      </c>
      <c r="C41" s="616" t="s">
        <v>3730</v>
      </c>
      <c r="D41" s="435">
        <v>100</v>
      </c>
      <c r="E41" s="616" t="s">
        <v>3730</v>
      </c>
      <c r="F41" s="461">
        <f>SUMIF(120:120,E41,121:121)-SUMIF(120:120,C41,121:121)+100</f>
        <v>100</v>
      </c>
      <c r="G41" s="616" t="s">
        <v>3730</v>
      </c>
      <c r="H41" s="435">
        <f>SUMIF(120:120,G41,121:121)-SUMIF(120:120,C41,121:121)+100</f>
        <v>100</v>
      </c>
      <c r="I41" s="616" t="s">
        <v>3730</v>
      </c>
      <c r="J41" s="435">
        <f>SUMIF(120:120,I41,121:121)-SUMIF(120:120,C41,121:121)+100</f>
        <v>100</v>
      </c>
      <c r="K41" s="612">
        <v>1</v>
      </c>
      <c r="L41" s="1137"/>
      <c r="M41" s="1140"/>
      <c r="N41" s="1140"/>
      <c r="O41" s="1140"/>
      <c r="P41" s="3852"/>
      <c r="Q41" s="776" t="str">
        <f t="shared" si="11"/>
        <v>进深比</v>
      </c>
      <c r="R41" s="777" t="s">
        <v>17</v>
      </c>
      <c r="S41" s="778">
        <f t="shared" si="12"/>
        <v>100</v>
      </c>
      <c r="T41" s="777" t="s">
        <v>17</v>
      </c>
      <c r="U41" s="778">
        <f t="shared" si="13"/>
        <v>100</v>
      </c>
      <c r="V41" s="777" t="s">
        <v>17</v>
      </c>
      <c r="W41" s="778">
        <f t="shared" si="14"/>
        <v>100</v>
      </c>
      <c r="X41" s="779"/>
      <c r="Y41" s="3854"/>
      <c r="Z41" s="780" t="str">
        <f t="shared" si="15"/>
        <v>进深比</v>
      </c>
      <c r="AA41" s="1811">
        <f t="shared" si="3"/>
        <v>1</v>
      </c>
      <c r="AB41" s="1811">
        <f t="shared" si="4"/>
        <v>1</v>
      </c>
      <c r="AC41" s="1811">
        <f t="shared" si="5"/>
        <v>1</v>
      </c>
    </row>
    <row r="42" spans="1:29" ht="15">
      <c r="A42" s="472"/>
      <c r="B42" s="422" t="s">
        <v>2669</v>
      </c>
      <c r="C42" s="2612" t="s">
        <v>3731</v>
      </c>
      <c r="D42" s="435">
        <v>100</v>
      </c>
      <c r="E42" s="2612" t="s">
        <v>3731</v>
      </c>
      <c r="F42" s="461">
        <f>SUMIF(122:122,E42,123:123)-SUMIF(122:122,C42,123:123)+100</f>
        <v>100</v>
      </c>
      <c r="G42" s="2612" t="s">
        <v>3781</v>
      </c>
      <c r="H42" s="435">
        <f>SUMIF(122:122,G42,123:123)-SUMIF(122:122,C42,123:123)+100</f>
        <v>102</v>
      </c>
      <c r="I42" s="2612" t="s">
        <v>3781</v>
      </c>
      <c r="J42" s="435">
        <f>SUMIF(122:122,I42,123:123)-SUMIF(122:122,C42,123:123)+100</f>
        <v>102</v>
      </c>
      <c r="K42" s="612">
        <v>1</v>
      </c>
      <c r="L42" s="1139"/>
      <c r="M42" s="1130"/>
      <c r="N42" s="1130"/>
      <c r="O42" s="1130"/>
      <c r="P42" s="3852"/>
      <c r="Q42" s="1810" t="str">
        <f t="shared" si="11"/>
        <v>内部装修</v>
      </c>
      <c r="R42" s="774" t="s">
        <v>17</v>
      </c>
      <c r="S42" s="775">
        <f t="shared" si="12"/>
        <v>100</v>
      </c>
      <c r="T42" s="774" t="s">
        <v>17</v>
      </c>
      <c r="U42" s="775">
        <f t="shared" si="13"/>
        <v>102</v>
      </c>
      <c r="V42" s="774" t="s">
        <v>17</v>
      </c>
      <c r="W42" s="775">
        <f t="shared" si="14"/>
        <v>102</v>
      </c>
      <c r="X42" s="1813"/>
      <c r="Y42" s="3854"/>
      <c r="Z42" s="1814" t="str">
        <f t="shared" si="15"/>
        <v>内部装修</v>
      </c>
      <c r="AA42" s="1811">
        <f t="shared" si="3"/>
        <v>1</v>
      </c>
      <c r="AB42" s="1811">
        <f t="shared" si="4"/>
        <v>0.98039215686274506</v>
      </c>
      <c r="AC42" s="1811">
        <f t="shared" si="5"/>
        <v>0.98039215686274506</v>
      </c>
    </row>
    <row r="43" spans="1:29" ht="15.75" thickBot="1">
      <c r="A43" s="472"/>
      <c r="B43" s="422" t="s">
        <v>2577</v>
      </c>
      <c r="C43" s="2612" t="s">
        <v>3205</v>
      </c>
      <c r="D43" s="435">
        <v>100</v>
      </c>
      <c r="E43" s="2612" t="s">
        <v>3205</v>
      </c>
      <c r="F43" s="461">
        <f>SUMIF(124:124,E43,125:125)-SUMIF(124:124,C43,125:125)+100</f>
        <v>100</v>
      </c>
      <c r="G43" s="2612" t="s">
        <v>3205</v>
      </c>
      <c r="H43" s="435">
        <f>SUMIF(124:124,G43,125:125)-SUMIF(124:124,C43,125:125)+100</f>
        <v>100</v>
      </c>
      <c r="I43" s="2612" t="s">
        <v>3205</v>
      </c>
      <c r="J43" s="435">
        <f>SUMIF(124:124,I43,125:125)-SUMIF(124:124,C43,125:125)+100</f>
        <v>100</v>
      </c>
      <c r="K43" s="612">
        <v>1</v>
      </c>
      <c r="L43" s="1139"/>
      <c r="M43" s="1130"/>
      <c r="N43" s="1130"/>
      <c r="O43" s="1130"/>
      <c r="P43" s="3852"/>
      <c r="Q43" s="1810" t="str">
        <f t="shared" si="11"/>
        <v>内部装修维护情况</v>
      </c>
      <c r="R43" s="774" t="s">
        <v>17</v>
      </c>
      <c r="S43" s="775">
        <f t="shared" si="12"/>
        <v>100</v>
      </c>
      <c r="T43" s="774" t="s">
        <v>17</v>
      </c>
      <c r="U43" s="775">
        <f t="shared" si="13"/>
        <v>100</v>
      </c>
      <c r="V43" s="774" t="s">
        <v>17</v>
      </c>
      <c r="W43" s="775">
        <f t="shared" si="14"/>
        <v>100</v>
      </c>
      <c r="X43" s="1813"/>
      <c r="Y43" s="3854"/>
      <c r="Z43" s="1814" t="str">
        <f t="shared" si="15"/>
        <v>内部装修维护情况</v>
      </c>
      <c r="AA43" s="1811">
        <f t="shared" si="3"/>
        <v>1</v>
      </c>
      <c r="AB43" s="1811">
        <f t="shared" si="4"/>
        <v>1</v>
      </c>
      <c r="AC43" s="1811">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852"/>
      <c r="Q44" s="1795">
        <f t="shared" si="11"/>
        <v>111</v>
      </c>
      <c r="R44" s="770" t="s">
        <v>17</v>
      </c>
      <c r="S44" s="771">
        <f t="shared" si="12"/>
        <v>100</v>
      </c>
      <c r="T44" s="770" t="s">
        <v>17</v>
      </c>
      <c r="U44" s="771">
        <f t="shared" si="13"/>
        <v>100</v>
      </c>
      <c r="V44" s="770" t="s">
        <v>17</v>
      </c>
      <c r="W44" s="771">
        <f t="shared" si="14"/>
        <v>100</v>
      </c>
      <c r="X44" s="772"/>
      <c r="Y44" s="3854"/>
      <c r="Z44" s="55">
        <f t="shared" si="15"/>
        <v>111</v>
      </c>
      <c r="AA44" s="773">
        <f t="shared" si="3"/>
        <v>1</v>
      </c>
      <c r="AB44" s="773">
        <f t="shared" si="4"/>
        <v>1</v>
      </c>
      <c r="AC44" s="773">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852"/>
      <c r="Q45" s="1810">
        <f t="shared" si="11"/>
        <v>111</v>
      </c>
      <c r="R45" s="774" t="s">
        <v>17</v>
      </c>
      <c r="S45" s="775">
        <f t="shared" si="12"/>
        <v>100</v>
      </c>
      <c r="T45" s="774" t="s">
        <v>17</v>
      </c>
      <c r="U45" s="775">
        <f t="shared" si="13"/>
        <v>100</v>
      </c>
      <c r="V45" s="774" t="s">
        <v>17</v>
      </c>
      <c r="W45" s="775">
        <f t="shared" si="14"/>
        <v>100</v>
      </c>
      <c r="X45" s="1813"/>
      <c r="Y45" s="3854"/>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853"/>
      <c r="Q46" s="1810">
        <f t="shared" si="11"/>
        <v>111</v>
      </c>
      <c r="R46" s="774" t="s">
        <v>17</v>
      </c>
      <c r="S46" s="775">
        <f t="shared" si="12"/>
        <v>100</v>
      </c>
      <c r="T46" s="774" t="s">
        <v>17</v>
      </c>
      <c r="U46" s="775">
        <f t="shared" si="13"/>
        <v>100</v>
      </c>
      <c r="V46" s="774" t="s">
        <v>17</v>
      </c>
      <c r="W46" s="775">
        <f t="shared" si="14"/>
        <v>100</v>
      </c>
      <c r="X46" s="1813"/>
      <c r="Y46" s="3855"/>
      <c r="Z46" s="1814">
        <f t="shared" si="15"/>
        <v>111</v>
      </c>
      <c r="AA46" s="1811">
        <f t="shared" si="3"/>
        <v>1</v>
      </c>
      <c r="AB46" s="1811">
        <f t="shared" si="4"/>
        <v>1</v>
      </c>
      <c r="AC46" s="1811">
        <f t="shared" si="5"/>
        <v>1</v>
      </c>
    </row>
    <row r="47" spans="1:29" ht="15">
      <c r="A47" s="479" t="s">
        <v>2578</v>
      </c>
      <c r="B47" s="480"/>
      <c r="C47" s="1406" t="s">
        <v>1</v>
      </c>
      <c r="D47" s="1407"/>
      <c r="E47" s="1408">
        <v>46000</v>
      </c>
      <c r="F47" s="1409"/>
      <c r="G47" s="1410">
        <v>47000</v>
      </c>
      <c r="H47" s="1411"/>
      <c r="I47" s="1408">
        <v>48000</v>
      </c>
      <c r="J47" s="1411"/>
      <c r="K47" s="783"/>
      <c r="L47" s="1142"/>
      <c r="M47" s="1143"/>
      <c r="N47" s="1130"/>
      <c r="O47" s="1143"/>
      <c r="P47" s="3847" t="str">
        <f>A47</f>
        <v>成交单价（元/平方米）</v>
      </c>
      <c r="Q47" s="3847"/>
      <c r="R47" s="3878">
        <f>E47</f>
        <v>46000</v>
      </c>
      <c r="S47" s="3878"/>
      <c r="T47" s="3878">
        <f>G47</f>
        <v>47000</v>
      </c>
      <c r="U47" s="3878"/>
      <c r="V47" s="3878">
        <f>I47</f>
        <v>48000</v>
      </c>
      <c r="W47" s="3878"/>
      <c r="X47" s="759"/>
      <c r="Y47" s="781"/>
      <c r="Z47" s="759"/>
      <c r="AA47" s="759"/>
      <c r="AB47" s="759"/>
      <c r="AC47" s="759"/>
    </row>
    <row r="48" spans="1:29" ht="15.75" thickBot="1">
      <c r="A48" s="486" t="s">
        <v>2670</v>
      </c>
      <c r="B48" s="487"/>
      <c r="C48" s="1412">
        <f>R49</f>
        <v>59414</v>
      </c>
      <c r="D48" s="1413"/>
      <c r="E48" s="1414">
        <f>R48</f>
        <v>59330</v>
      </c>
      <c r="F48" s="1414"/>
      <c r="G48" s="1412">
        <f>T48</f>
        <v>59431</v>
      </c>
      <c r="H48" s="1413"/>
      <c r="I48" s="1414">
        <f>V48</f>
        <v>59482</v>
      </c>
      <c r="J48" s="1413"/>
      <c r="K48" s="784"/>
      <c r="L48" s="1142"/>
      <c r="M48" s="1143"/>
      <c r="N48" s="1130"/>
      <c r="O48" s="1143"/>
      <c r="P48" s="3847" t="str">
        <f>A48</f>
        <v>比较价值（元/平方米）</v>
      </c>
      <c r="Q48" s="3847"/>
      <c r="R48" s="3848">
        <f>IF(F1="售价",ROUND(PRODUCT(R47,AA7:AA46),0),ROUND(PRODUCT(R47,AA7:AA46),1))</f>
        <v>59330</v>
      </c>
      <c r="S48" s="3848"/>
      <c r="T48" s="3848">
        <f>IF(F1="售价",ROUND(PRODUCT(T47,AB7:AB46),0),ROUND(PRODUCT(T47,AB7:AB46),1))</f>
        <v>59431</v>
      </c>
      <c r="U48" s="3848"/>
      <c r="V48" s="3848">
        <f>IF(F1="售价",ROUND(PRODUCT(V47,AC7:AC46),0),ROUND(PRODUCT(V47,AC7:AC46),1))</f>
        <v>59482</v>
      </c>
      <c r="W48" s="3848"/>
      <c r="X48" s="759"/>
      <c r="Y48" s="759"/>
      <c r="Z48" s="759"/>
      <c r="AA48" s="759"/>
      <c r="AB48" s="759"/>
      <c r="AC48" s="759"/>
    </row>
    <row r="49" spans="1:29" ht="15.75" thickBot="1">
      <c r="A49" s="492" t="s">
        <v>2671</v>
      </c>
      <c r="B49" s="493"/>
      <c r="C49" s="1416">
        <f>R49</f>
        <v>59414</v>
      </c>
      <c r="D49" s="1416"/>
      <c r="E49" s="1416"/>
      <c r="F49" s="1416"/>
      <c r="G49" s="1416"/>
      <c r="H49" s="1416"/>
      <c r="I49" s="1416"/>
      <c r="J49" s="1416"/>
      <c r="K49" s="785"/>
      <c r="L49" s="1142"/>
      <c r="M49" s="1143"/>
      <c r="N49" s="1130"/>
      <c r="O49" s="1143"/>
      <c r="P49" s="3844" t="str">
        <f>A49</f>
        <v>估价对象XX用房的比较价值（楼面单价，元/平方米）</v>
      </c>
      <c r="Q49" s="3845"/>
      <c r="R49" s="3846">
        <f>IF(F1="售价",ROUND(AVERAGE(R48:V48),0),ROUND(AVERAGE(R48:V48),1))</f>
        <v>59414</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f>IF(E47&lt;E48,E48/E47-1,E47/E48-1)</f>
        <v>0.28978260869565209</v>
      </c>
      <c r="F52" s="500" t="str">
        <f>IF(OR(E52&gt;=0.3,E52&lt;=-0.3),"超过30%","")</f>
        <v/>
      </c>
      <c r="G52" s="499">
        <f>IF(G47&lt;G48,G48/G47-1,G47/G48-1)</f>
        <v>0.26448936170212756</v>
      </c>
      <c r="H52" s="500" t="str">
        <f>IF(OR(G52&gt;=0.3,G52&lt;=-0.3),"超过30%","")</f>
        <v/>
      </c>
      <c r="I52" s="499">
        <f>IF(I47&lt;I48,I48/I47-1,I47/I48-1)</f>
        <v>0.23920833333333325</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f>IF(E48&lt;G48,G48/E48-1,E48/G48-1)</f>
        <v>1.7023428282487707E-3</v>
      </c>
      <c r="F53" s="500" t="str">
        <f>IF(OR(E53&gt;=0.2,E53&lt;=-0.2),"超过20%","")</f>
        <v/>
      </c>
      <c r="G53" s="499">
        <f>IF(G48&lt;I48,I48/G48-1,G48/I48-1)</f>
        <v>8.581380087833157E-4</v>
      </c>
      <c r="H53" s="500" t="str">
        <f>IF(OR(G53&gt;=0.2,G53&lt;=-0.2),"超过20%","")</f>
        <v/>
      </c>
      <c r="I53" s="499">
        <f>IF(I48&lt;E48,E48/I48-1,I48/E48-1)</f>
        <v>2.561941682116986E-3</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f>IF(E47&lt;G47,G47/E47-1,E47/G47-1)</f>
        <v>2.1739130434782705E-2</v>
      </c>
      <c r="F54" s="500" t="str">
        <f>IF(OR(E54&gt;=0.3,E54&lt;=-0.3),"超过30%","")</f>
        <v/>
      </c>
      <c r="G54" s="499">
        <f>IF(G47&lt;I47,I47/G47-1,G47/I47-1)</f>
        <v>2.1276595744680771E-2</v>
      </c>
      <c r="H54" s="500" t="str">
        <f>IF(OR(G54&gt;=0.3,G54&lt;=-0.3),"超过30%","")</f>
        <v/>
      </c>
      <c r="I54" s="499">
        <f>IF(I47&lt;E47,E47/I47-1,I47/E47-1)</f>
        <v>4.3478260869565188E-2</v>
      </c>
      <c r="J54" s="500" t="str">
        <f>IF(OR(I54&gt;=0.3,I54&lt;=-0.3),"超过30%","")</f>
        <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v>100</v>
      </c>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t="str">
        <f>C9</f>
        <v>商业</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9"/>
      <c r="Q66" s="504"/>
    </row>
    <row r="67" spans="1:17" ht="15.75" thickTop="1">
      <c r="A67" s="534"/>
      <c r="B67" s="546" t="s">
        <v>2559</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v>0</v>
      </c>
      <c r="D68" s="549">
        <v>1</v>
      </c>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2"/>
      <c r="O85" s="1152"/>
      <c r="P85" s="2629"/>
      <c r="Q85" s="504"/>
    </row>
    <row r="86" spans="1:17" s="117" customFormat="1" ht="15.75" thickTop="1">
      <c r="A86" s="579"/>
      <c r="B86" s="538" t="s">
        <v>2681</v>
      </c>
      <c r="C86" s="3581" t="s">
        <v>3793</v>
      </c>
      <c r="D86" s="3581" t="s">
        <v>3794</v>
      </c>
      <c r="E86" s="3581" t="s">
        <v>3795</v>
      </c>
      <c r="F86" s="3581" t="s">
        <v>3796</v>
      </c>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5.75" thickTop="1">
      <c r="A88" s="579"/>
      <c r="B88" s="538" t="str">
        <f>B26</f>
        <v>平面位置/可视性</v>
      </c>
      <c r="C88" s="3581" t="s">
        <v>3797</v>
      </c>
      <c r="D88" s="3581" t="s">
        <v>3798</v>
      </c>
      <c r="E88" s="3581" t="s">
        <v>3799</v>
      </c>
      <c r="F88" s="3584" t="s">
        <v>3800</v>
      </c>
      <c r="G88" s="3581" t="s">
        <v>3801</v>
      </c>
      <c r="H88" s="554"/>
      <c r="I88" s="554"/>
      <c r="J88" s="554"/>
      <c r="K88" s="554"/>
      <c r="L88" s="554"/>
      <c r="M88" s="581"/>
      <c r="N88" s="1150"/>
      <c r="O88" s="1150"/>
      <c r="P88" s="2629"/>
      <c r="Q88" s="504"/>
    </row>
    <row r="89" spans="1:17" s="117" customFormat="1" ht="15.75" thickBot="1">
      <c r="A89" s="579"/>
      <c r="B89" s="543"/>
      <c r="C89" s="560">
        <v>100</v>
      </c>
      <c r="D89" s="536">
        <v>97</v>
      </c>
      <c r="E89" s="536">
        <v>94</v>
      </c>
      <c r="F89" s="536">
        <v>91</v>
      </c>
      <c r="G89" s="536">
        <v>88</v>
      </c>
      <c r="H89" s="536"/>
      <c r="I89" s="536"/>
      <c r="J89" s="536"/>
      <c r="K89" s="536"/>
      <c r="L89" s="536"/>
      <c r="M89" s="536"/>
      <c r="N89" s="1152"/>
      <c r="O89" s="1152"/>
      <c r="P89" s="2629"/>
      <c r="Q89" s="504"/>
    </row>
    <row r="90" spans="1:17" s="471" customFormat="1" ht="15.75" thickTop="1">
      <c r="A90" s="553"/>
      <c r="B90" s="538" t="str">
        <f>B27</f>
        <v>人流量</v>
      </c>
      <c r="C90" s="3581" t="s">
        <v>3803</v>
      </c>
      <c r="D90" s="3581" t="s">
        <v>3804</v>
      </c>
      <c r="E90" s="3581" t="s">
        <v>3805</v>
      </c>
      <c r="F90" s="3581" t="s">
        <v>3800</v>
      </c>
      <c r="G90" s="3581" t="s">
        <v>3801</v>
      </c>
      <c r="H90" s="555"/>
      <c r="I90" s="555"/>
      <c r="J90" s="555"/>
      <c r="K90" s="555"/>
      <c r="L90" s="556"/>
      <c r="M90" s="557"/>
      <c r="N90" s="1153"/>
      <c r="O90" s="1153"/>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30"/>
      <c r="Q91" s="559"/>
    </row>
    <row r="92" spans="1:17" ht="15.75" thickTop="1">
      <c r="A92" s="534"/>
      <c r="B92" s="538" t="str">
        <f>B28</f>
        <v>楼层</v>
      </c>
      <c r="C92" s="554" t="s">
        <v>3806</v>
      </c>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3583" t="s">
        <v>3790</v>
      </c>
      <c r="D100" s="3583" t="s">
        <v>3791</v>
      </c>
      <c r="E100" s="3583" t="s">
        <v>3792</v>
      </c>
      <c r="F100" s="3583" t="s">
        <v>3808</v>
      </c>
      <c r="G100" s="3583" t="s">
        <v>3810</v>
      </c>
      <c r="H100" s="530"/>
      <c r="I100" s="530"/>
      <c r="J100" s="530"/>
      <c r="K100" s="531"/>
      <c r="L100" s="532"/>
      <c r="M100" s="533"/>
      <c r="N100" s="1151"/>
      <c r="O100" s="1151"/>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9"/>
      <c r="Q101" s="504"/>
    </row>
    <row r="102" spans="1:17" ht="15.75" thickTop="1">
      <c r="A102" s="534"/>
      <c r="B102" s="538" t="s">
        <v>2614</v>
      </c>
      <c r="C102" s="578" t="str">
        <f>C103&amp;"(含)"&amp;"-"&amp;D103</f>
        <v>0(含)-1</v>
      </c>
      <c r="D102" s="578" t="str">
        <f t="shared" ref="D102:L102" si="23">D103&amp;"(含)"&amp;"-"&amp;E103</f>
        <v>1(含)-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v>0</v>
      </c>
      <c r="D103" s="595">
        <v>1</v>
      </c>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3581" t="s">
        <v>3789</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9"/>
      <c r="Q106" s="504"/>
    </row>
    <row r="107" spans="1:17" ht="15" thickTop="1">
      <c r="A107" s="599"/>
      <c r="B107" s="538" t="s">
        <v>2617</v>
      </c>
      <c r="C107" s="3581" t="s">
        <v>3780</v>
      </c>
      <c r="D107" s="3581" t="s">
        <v>3782</v>
      </c>
      <c r="E107" s="3581" t="s">
        <v>3784</v>
      </c>
      <c r="F107" s="3582" t="s">
        <v>3778</v>
      </c>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9"/>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9"/>
      <c r="Q111" s="504"/>
    </row>
    <row r="112" spans="1:17" s="471" customFormat="1" ht="15" thickTop="1">
      <c r="A112" s="593"/>
      <c r="B112" s="538" t="s">
        <v>2619</v>
      </c>
      <c r="C112" s="3581" t="s">
        <v>3788</v>
      </c>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0"/>
      <c r="Q113" s="559"/>
    </row>
    <row r="114" spans="1:17" ht="15" thickTop="1">
      <c r="A114" s="599"/>
      <c r="B114" s="538" t="s">
        <v>2683</v>
      </c>
      <c r="C114" s="3581" t="s">
        <v>3786</v>
      </c>
      <c r="D114" s="3581" t="s">
        <v>3787</v>
      </c>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9"/>
      <c r="Q115" s="504"/>
    </row>
    <row r="116" spans="1:17" ht="15" thickTop="1">
      <c r="A116" s="599"/>
      <c r="B116" s="538" t="s">
        <v>2684</v>
      </c>
      <c r="C116" s="3581" t="s">
        <v>3774</v>
      </c>
      <c r="D116" s="3581" t="s">
        <v>3776</v>
      </c>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3582" t="s">
        <v>3777</v>
      </c>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0"/>
      <c r="Q121" s="559"/>
    </row>
    <row r="122" spans="1:17" ht="15" thickTop="1">
      <c r="A122" s="599"/>
      <c r="B122" s="538" t="s">
        <v>2621</v>
      </c>
      <c r="C122" s="3581" t="s">
        <v>3780</v>
      </c>
      <c r="D122" s="3581" t="s">
        <v>3782</v>
      </c>
      <c r="E122" s="3581" t="s">
        <v>3784</v>
      </c>
      <c r="F122" s="3582" t="s">
        <v>3778</v>
      </c>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2687</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5"/>
      <c r="D2" s="1364"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79847.06</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4020" t="s">
        <v>2652</v>
      </c>
      <c r="Q4" s="4021"/>
      <c r="R4" s="4024" t="s">
        <v>2648</v>
      </c>
      <c r="S4" s="4025"/>
      <c r="T4" s="4024" t="s">
        <v>2649</v>
      </c>
      <c r="U4" s="4025"/>
      <c r="V4" s="4026" t="s">
        <v>2650</v>
      </c>
      <c r="W4" s="4026"/>
      <c r="X4" s="2669"/>
      <c r="Y4" s="4024" t="s">
        <v>2652</v>
      </c>
      <c r="Z4" s="4025"/>
      <c r="AA4" s="4028" t="s">
        <v>2648</v>
      </c>
      <c r="AB4" s="4028" t="s">
        <v>2649</v>
      </c>
      <c r="AC4" s="4017" t="s">
        <v>2650</v>
      </c>
    </row>
    <row r="5" spans="1:29" ht="15">
      <c r="A5" s="404"/>
      <c r="B5" s="405"/>
      <c r="C5" s="3881" t="s">
        <v>2543</v>
      </c>
      <c r="D5" s="3882"/>
      <c r="E5" s="3888" t="s">
        <v>2544</v>
      </c>
      <c r="F5" s="3889"/>
      <c r="G5" s="3881" t="s">
        <v>2545</v>
      </c>
      <c r="H5" s="3882"/>
      <c r="I5" s="3881" t="s">
        <v>2546</v>
      </c>
      <c r="J5" s="3882"/>
      <c r="K5" s="610"/>
      <c r="L5" s="1129"/>
      <c r="M5" s="1130"/>
      <c r="N5" s="1130"/>
      <c r="O5" s="1130"/>
      <c r="P5" s="4022"/>
      <c r="Q5" s="3869"/>
      <c r="R5" s="3874"/>
      <c r="S5" s="3875"/>
      <c r="T5" s="3874"/>
      <c r="U5" s="3875"/>
      <c r="V5" s="3878"/>
      <c r="W5" s="3878"/>
      <c r="X5" s="1813"/>
      <c r="Y5" s="3874"/>
      <c r="Z5" s="3875"/>
      <c r="AA5" s="3860"/>
      <c r="AB5" s="3860"/>
      <c r="AC5" s="4018"/>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4023"/>
      <c r="Q6" s="3871"/>
      <c r="R6" s="3874"/>
      <c r="S6" s="3875"/>
      <c r="T6" s="3876"/>
      <c r="U6" s="3877"/>
      <c r="V6" s="3878"/>
      <c r="W6" s="3878"/>
      <c r="X6" s="1813"/>
      <c r="Y6" s="3876"/>
      <c r="Z6" s="3877"/>
      <c r="AA6" s="3861"/>
      <c r="AB6" s="3861"/>
      <c r="AC6" s="4019"/>
    </row>
    <row r="7" spans="1:29" s="117" customFormat="1" ht="15.75" thickBot="1">
      <c r="A7" s="408" t="s">
        <v>2549</v>
      </c>
      <c r="B7" s="409"/>
      <c r="C7" s="410">
        <f>'数据-取费表'!B2</f>
        <v>43110</v>
      </c>
      <c r="D7" s="411">
        <v>100</v>
      </c>
      <c r="E7" s="412"/>
      <c r="F7" s="413">
        <f>SUMIF(59:59,YEAR(E7)&amp;"-"&amp;MONTH(E7),60:60)</f>
        <v>0</v>
      </c>
      <c r="G7" s="412"/>
      <c r="H7" s="411">
        <f>SUMIF(59:59,YEAR(G7)&amp;"-"&amp;MONTH(G7),60:60)</f>
        <v>0</v>
      </c>
      <c r="I7" s="412"/>
      <c r="J7" s="411">
        <f>SUMIF(59:59,YEAR(I7)&amp;"-"&amp;MONTH(I7),60:60)</f>
        <v>0</v>
      </c>
      <c r="K7" s="611"/>
      <c r="L7" s="1131"/>
      <c r="M7" s="1132"/>
      <c r="N7" s="1132"/>
      <c r="O7" s="1132"/>
      <c r="P7" s="4027"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4027" t="s">
        <v>2553</v>
      </c>
      <c r="Q8" s="3884"/>
      <c r="R8" s="770" t="s">
        <v>17</v>
      </c>
      <c r="S8" s="771">
        <f t="shared" si="0"/>
        <v>0</v>
      </c>
      <c r="T8" s="770" t="s">
        <v>17</v>
      </c>
      <c r="U8" s="771">
        <f t="shared" si="1"/>
        <v>0</v>
      </c>
      <c r="V8" s="770" t="s">
        <v>17</v>
      </c>
      <c r="W8" s="771">
        <f t="shared" si="2"/>
        <v>0</v>
      </c>
      <c r="X8" s="772"/>
      <c r="Y8" s="3883" t="s">
        <v>2553</v>
      </c>
      <c r="Z8" s="3884"/>
      <c r="AA8" s="773" t="e">
        <f t="shared" ref="AA8:AA47" si="3">D8/F8</f>
        <v>#DIV/0!</v>
      </c>
      <c r="AB8" s="773"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2670">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2670">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858"/>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858"/>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858"/>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858"/>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856" t="s">
        <v>2561</v>
      </c>
      <c r="Q15" s="1810" t="str">
        <f t="shared" si="6"/>
        <v>办公集聚程度</v>
      </c>
      <c r="R15" s="774" t="s">
        <v>17</v>
      </c>
      <c r="S15" s="775">
        <f t="shared" si="0"/>
        <v>100</v>
      </c>
      <c r="T15" s="774" t="s">
        <v>17</v>
      </c>
      <c r="U15" s="775">
        <f t="shared" si="1"/>
        <v>100</v>
      </c>
      <c r="V15" s="774" t="s">
        <v>17</v>
      </c>
      <c r="W15" s="775">
        <f t="shared" si="2"/>
        <v>100</v>
      </c>
      <c r="X15" s="1813"/>
      <c r="Y15" s="3849" t="s">
        <v>2561</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39"/>
      <c r="M16" s="1130"/>
      <c r="N16" s="1130"/>
      <c r="O16" s="1130"/>
      <c r="P16" s="3857"/>
      <c r="Q16" s="1810"/>
      <c r="R16" s="774"/>
      <c r="S16" s="775"/>
      <c r="T16" s="774"/>
      <c r="U16" s="775"/>
      <c r="V16" s="774"/>
      <c r="W16" s="775"/>
      <c r="X16" s="1813"/>
      <c r="Y16" s="3850"/>
      <c r="Z16" s="1814"/>
      <c r="AA16" s="1811">
        <v>1</v>
      </c>
      <c r="AB16" s="1811">
        <v>1</v>
      </c>
      <c r="AC16" s="2673">
        <v>1</v>
      </c>
    </row>
    <row r="17" spans="1:29" ht="71.25">
      <c r="A17" s="428"/>
      <c r="B17" s="631" t="s">
        <v>2100</v>
      </c>
      <c r="C17" s="2674" t="str">
        <f>估价对象房地状况!C6</f>
        <v>周边道路状况好、公共交通通达情况好、停车便捷，综合评价交通便捷度好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857"/>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39"/>
      <c r="M18" s="1130"/>
      <c r="N18" s="1130"/>
      <c r="O18" s="1130"/>
      <c r="P18" s="3857"/>
      <c r="Q18" s="1810"/>
      <c r="R18" s="774"/>
      <c r="S18" s="775"/>
      <c r="T18" s="774"/>
      <c r="U18" s="775"/>
      <c r="V18" s="774"/>
      <c r="W18" s="775"/>
      <c r="X18" s="1813"/>
      <c r="Y18" s="3850"/>
      <c r="Z18" s="1814"/>
      <c r="AA18" s="1811">
        <v>1</v>
      </c>
      <c r="AB18" s="1811">
        <v>1</v>
      </c>
      <c r="AC18" s="2673">
        <v>1</v>
      </c>
    </row>
    <row r="19" spans="1:29" ht="28.5">
      <c r="A19" s="428"/>
      <c r="B19" s="631" t="s">
        <v>2689</v>
      </c>
      <c r="C19" s="2674"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857"/>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39"/>
      <c r="M20" s="1130"/>
      <c r="N20" s="1130"/>
      <c r="O20" s="1130"/>
      <c r="P20" s="3857"/>
      <c r="Q20" s="1810"/>
      <c r="R20" s="774"/>
      <c r="S20" s="775"/>
      <c r="T20" s="774"/>
      <c r="U20" s="775"/>
      <c r="V20" s="774"/>
      <c r="W20" s="775"/>
      <c r="X20" s="1813"/>
      <c r="Y20" s="3850"/>
      <c r="Z20" s="1814"/>
      <c r="AA20" s="1811">
        <v>1</v>
      </c>
      <c r="AB20" s="1811">
        <v>1</v>
      </c>
      <c r="AC20" s="2673">
        <v>1</v>
      </c>
    </row>
    <row r="21" spans="1:29" ht="28.5">
      <c r="A21" s="428"/>
      <c r="B21" s="633" t="s">
        <v>2690</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857"/>
      <c r="Q22" s="1810"/>
      <c r="R22" s="774"/>
      <c r="S22" s="775"/>
      <c r="T22" s="774"/>
      <c r="U22" s="775"/>
      <c r="V22" s="774"/>
      <c r="W22" s="775"/>
      <c r="X22" s="1813"/>
      <c r="Y22" s="3850"/>
      <c r="Z22" s="1814"/>
      <c r="AA22" s="1811">
        <v>1</v>
      </c>
      <c r="AB22" s="1811">
        <v>1</v>
      </c>
      <c r="AC22" s="2673">
        <v>1</v>
      </c>
    </row>
    <row r="23" spans="1:29" ht="42.75">
      <c r="A23" s="428"/>
      <c r="B23" s="631" t="s">
        <v>2691</v>
      </c>
      <c r="C23" s="2674" t="str">
        <f>估价对象房地状况!C9</f>
        <v>区域自然环境好；人文环境好；综合评价环境状况好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857"/>
      <c r="Q23" s="1810" t="str">
        <f>B23</f>
        <v>环境质量</v>
      </c>
      <c r="R23" s="774" t="s">
        <v>17</v>
      </c>
      <c r="S23" s="775">
        <f>F23</f>
        <v>100</v>
      </c>
      <c r="T23" s="774" t="s">
        <v>17</v>
      </c>
      <c r="U23" s="775">
        <f>H23</f>
        <v>100</v>
      </c>
      <c r="V23" s="774" t="s">
        <v>17</v>
      </c>
      <c r="W23" s="775">
        <f>J23</f>
        <v>100</v>
      </c>
      <c r="X23" s="1813"/>
      <c r="Y23" s="3850"/>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39"/>
      <c r="M24" s="1130"/>
      <c r="N24" s="1130"/>
      <c r="O24" s="1130"/>
      <c r="P24" s="3857"/>
      <c r="Q24" s="1810"/>
      <c r="R24" s="774"/>
      <c r="S24" s="775"/>
      <c r="T24" s="774"/>
      <c r="U24" s="775"/>
      <c r="V24" s="774"/>
      <c r="W24" s="775"/>
      <c r="X24" s="1813"/>
      <c r="Y24" s="3850"/>
      <c r="Z24" s="1814"/>
      <c r="AA24" s="1811">
        <v>1</v>
      </c>
      <c r="AB24" s="1811">
        <v>1</v>
      </c>
      <c r="AC24" s="2673">
        <v>1</v>
      </c>
    </row>
    <row r="25" spans="1:29" ht="27">
      <c r="A25" s="404"/>
      <c r="B25" s="631" t="s">
        <v>2692</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857"/>
      <c r="Q25" s="1810" t="str">
        <f>B25</f>
        <v>毗邻道路的类型与等级</v>
      </c>
      <c r="R25" s="774" t="s">
        <v>17</v>
      </c>
      <c r="S25" s="775">
        <f>F25</f>
        <v>100</v>
      </c>
      <c r="T25" s="774" t="s">
        <v>17</v>
      </c>
      <c r="U25" s="775">
        <f>H25</f>
        <v>100</v>
      </c>
      <c r="V25" s="774" t="s">
        <v>17</v>
      </c>
      <c r="W25" s="775">
        <f>J25</f>
        <v>100</v>
      </c>
      <c r="X25" s="1813"/>
      <c r="Y25" s="3850"/>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39"/>
      <c r="M26" s="1130"/>
      <c r="N26" s="1130"/>
      <c r="O26" s="1130"/>
      <c r="P26" s="3857"/>
      <c r="Q26" s="1810"/>
      <c r="R26" s="774"/>
      <c r="S26" s="775"/>
      <c r="T26" s="774"/>
      <c r="U26" s="775"/>
      <c r="V26" s="774"/>
      <c r="W26" s="775"/>
      <c r="X26" s="1813"/>
      <c r="Y26" s="3850"/>
      <c r="Z26" s="1814"/>
      <c r="AA26" s="1811">
        <v>1</v>
      </c>
      <c r="AB26" s="1811">
        <v>1</v>
      </c>
      <c r="AC26" s="2673">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857"/>
      <c r="Q27" s="1810" t="str">
        <f t="shared" ref="Q27:Q47" si="11">B27</f>
        <v>楼层</v>
      </c>
      <c r="R27" s="774" t="s">
        <v>17</v>
      </c>
      <c r="S27" s="775">
        <f>F27</f>
        <v>100</v>
      </c>
      <c r="T27" s="774" t="s">
        <v>17</v>
      </c>
      <c r="U27" s="775">
        <f>H27</f>
        <v>100</v>
      </c>
      <c r="V27" s="774" t="s">
        <v>17</v>
      </c>
      <c r="W27" s="775">
        <f>J27</f>
        <v>100</v>
      </c>
      <c r="X27" s="1813"/>
      <c r="Y27" s="3850"/>
      <c r="Z27" s="1814" t="str">
        <f>Q27</f>
        <v>楼层</v>
      </c>
      <c r="AA27" s="1811">
        <f t="shared" si="3"/>
        <v>1</v>
      </c>
      <c r="AB27" s="1811">
        <f t="shared" si="4"/>
        <v>1</v>
      </c>
      <c r="AC27" s="2673">
        <f t="shared" si="5"/>
        <v>1</v>
      </c>
    </row>
    <row r="28" spans="1:29" s="117" customFormat="1" ht="15">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857"/>
      <c r="Q28" s="1795" t="str">
        <f t="shared" si="11"/>
        <v>朝向</v>
      </c>
      <c r="R28" s="770" t="s">
        <v>17</v>
      </c>
      <c r="S28" s="771">
        <f>F28</f>
        <v>100</v>
      </c>
      <c r="T28" s="770" t="s">
        <v>17</v>
      </c>
      <c r="U28" s="771">
        <f>H28</f>
        <v>100</v>
      </c>
      <c r="V28" s="770" t="s">
        <v>17</v>
      </c>
      <c r="W28" s="771">
        <f>J28</f>
        <v>100</v>
      </c>
      <c r="X28" s="772"/>
      <c r="Y28" s="3850"/>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857"/>
      <c r="Q29" s="1810">
        <f t="shared" si="11"/>
        <v>111</v>
      </c>
      <c r="R29" s="774" t="s">
        <v>17</v>
      </c>
      <c r="S29" s="775">
        <f t="shared" ref="S29:S47" si="12">F29</f>
        <v>100</v>
      </c>
      <c r="T29" s="774" t="s">
        <v>17</v>
      </c>
      <c r="U29" s="775">
        <f t="shared" ref="U29:U47" si="13">H29</f>
        <v>100</v>
      </c>
      <c r="V29" s="774" t="s">
        <v>17</v>
      </c>
      <c r="W29" s="775">
        <f t="shared" ref="W29:W47" si="14">J29</f>
        <v>100</v>
      </c>
      <c r="X29" s="1813"/>
      <c r="Y29" s="3850"/>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857"/>
      <c r="Q30" s="1810">
        <f t="shared" si="11"/>
        <v>111</v>
      </c>
      <c r="R30" s="774" t="s">
        <v>17</v>
      </c>
      <c r="S30" s="775">
        <f t="shared" si="12"/>
        <v>100</v>
      </c>
      <c r="T30" s="774" t="s">
        <v>17</v>
      </c>
      <c r="U30" s="775">
        <f t="shared" si="13"/>
        <v>100</v>
      </c>
      <c r="V30" s="774" t="s">
        <v>17</v>
      </c>
      <c r="W30" s="775">
        <f t="shared" si="14"/>
        <v>100</v>
      </c>
      <c r="X30" s="1813"/>
      <c r="Y30" s="3850"/>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857"/>
      <c r="Q31" s="1810">
        <f t="shared" si="11"/>
        <v>111</v>
      </c>
      <c r="R31" s="774" t="s">
        <v>17</v>
      </c>
      <c r="S31" s="775">
        <f t="shared" si="12"/>
        <v>100</v>
      </c>
      <c r="T31" s="774" t="s">
        <v>17</v>
      </c>
      <c r="U31" s="775">
        <f t="shared" si="13"/>
        <v>100</v>
      </c>
      <c r="V31" s="774" t="s">
        <v>17</v>
      </c>
      <c r="W31" s="775">
        <f t="shared" si="14"/>
        <v>100</v>
      </c>
      <c r="X31" s="1813"/>
      <c r="Y31" s="3850"/>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857"/>
      <c r="Q32" s="1810">
        <f t="shared" si="11"/>
        <v>111</v>
      </c>
      <c r="R32" s="774" t="s">
        <v>17</v>
      </c>
      <c r="S32" s="775">
        <f t="shared" si="12"/>
        <v>100</v>
      </c>
      <c r="T32" s="774" t="s">
        <v>17</v>
      </c>
      <c r="U32" s="775">
        <f t="shared" si="13"/>
        <v>100</v>
      </c>
      <c r="V32" s="774" t="s">
        <v>17</v>
      </c>
      <c r="W32" s="775">
        <f t="shared" si="14"/>
        <v>100</v>
      </c>
      <c r="X32" s="1813"/>
      <c r="Y32" s="3850"/>
      <c r="Z32" s="1814">
        <f t="shared" si="15"/>
        <v>111</v>
      </c>
      <c r="AA32" s="1811">
        <f t="shared" si="3"/>
        <v>1</v>
      </c>
      <c r="AB32" s="1811">
        <f t="shared" si="4"/>
        <v>1</v>
      </c>
      <c r="AC32" s="2673">
        <f t="shared" si="5"/>
        <v>1</v>
      </c>
    </row>
    <row r="33" spans="1:29" ht="15">
      <c r="A33" s="440" t="s">
        <v>2564</v>
      </c>
      <c r="B33" s="71" t="s">
        <v>2694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851" t="s">
        <v>2566</v>
      </c>
      <c r="Q33" s="1810" t="str">
        <f t="shared" si="11"/>
        <v>建筑类型</v>
      </c>
      <c r="R33" s="774" t="s">
        <v>17</v>
      </c>
      <c r="S33" s="775">
        <f t="shared" si="12"/>
        <v>100</v>
      </c>
      <c r="T33" s="774" t="s">
        <v>17</v>
      </c>
      <c r="U33" s="775">
        <f t="shared" si="13"/>
        <v>100</v>
      </c>
      <c r="V33" s="774" t="s">
        <v>17</v>
      </c>
      <c r="W33" s="775">
        <f t="shared" si="14"/>
        <v>100</v>
      </c>
      <c r="X33" s="1813"/>
      <c r="Y33" s="3854" t="s">
        <v>2566</v>
      </c>
      <c r="Z33" s="1814" t="str">
        <f t="shared" si="15"/>
        <v>建筑类型</v>
      </c>
      <c r="AA33" s="1811">
        <f t="shared" si="3"/>
        <v>1</v>
      </c>
      <c r="AB33" s="1811">
        <f t="shared" si="4"/>
        <v>1</v>
      </c>
      <c r="AC33" s="2673">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852"/>
      <c r="Q34" s="776" t="str">
        <f t="shared" si="11"/>
        <v>项目建筑规模</v>
      </c>
      <c r="R34" s="777" t="s">
        <v>17</v>
      </c>
      <c r="S34" s="778" t="e">
        <f t="shared" si="12"/>
        <v>#N/A</v>
      </c>
      <c r="T34" s="777" t="s">
        <v>17</v>
      </c>
      <c r="U34" s="778" t="e">
        <f t="shared" si="13"/>
        <v>#N/A</v>
      </c>
      <c r="V34" s="777" t="s">
        <v>17</v>
      </c>
      <c r="W34" s="778" t="e">
        <f t="shared" si="14"/>
        <v>#N/A</v>
      </c>
      <c r="X34" s="779"/>
      <c r="Y34" s="3854"/>
      <c r="Z34" s="780" t="str">
        <f t="shared" si="15"/>
        <v>项目建筑规模</v>
      </c>
      <c r="AA34" s="1811" t="e">
        <f t="shared" si="3"/>
        <v>#N/A</v>
      </c>
      <c r="AB34" s="1811" t="e">
        <f t="shared" si="4"/>
        <v>#N/A</v>
      </c>
      <c r="AC34" s="2673"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852"/>
      <c r="Q35" s="1810" t="str">
        <f t="shared" si="11"/>
        <v>建筑结构</v>
      </c>
      <c r="R35" s="774" t="s">
        <v>17</v>
      </c>
      <c r="S35" s="775">
        <f t="shared" si="12"/>
        <v>100</v>
      </c>
      <c r="T35" s="774" t="s">
        <v>17</v>
      </c>
      <c r="U35" s="775">
        <f t="shared" si="13"/>
        <v>100</v>
      </c>
      <c r="V35" s="774" t="s">
        <v>17</v>
      </c>
      <c r="W35" s="775">
        <f t="shared" si="14"/>
        <v>100</v>
      </c>
      <c r="X35" s="1813"/>
      <c r="Y35" s="3854"/>
      <c r="Z35" s="1814" t="str">
        <f t="shared" si="15"/>
        <v>建筑结构</v>
      </c>
      <c r="AA35" s="1811">
        <f t="shared" si="3"/>
        <v>1</v>
      </c>
      <c r="AB35" s="1811">
        <f t="shared" si="4"/>
        <v>1</v>
      </c>
      <c r="AC35" s="2673">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852"/>
      <c r="Q36" s="1810" t="str">
        <f t="shared" si="11"/>
        <v>公共部分装修</v>
      </c>
      <c r="R36" s="774" t="s">
        <v>17</v>
      </c>
      <c r="S36" s="775">
        <f t="shared" si="12"/>
        <v>100</v>
      </c>
      <c r="T36" s="774" t="s">
        <v>17</v>
      </c>
      <c r="U36" s="775">
        <f t="shared" si="13"/>
        <v>100</v>
      </c>
      <c r="V36" s="774" t="s">
        <v>17</v>
      </c>
      <c r="W36" s="775">
        <f t="shared" si="14"/>
        <v>100</v>
      </c>
      <c r="X36" s="1813"/>
      <c r="Y36" s="3854"/>
      <c r="Z36" s="1814" t="str">
        <f t="shared" si="15"/>
        <v>公共部分装修</v>
      </c>
      <c r="AA36" s="1811">
        <f t="shared" si="3"/>
        <v>1</v>
      </c>
      <c r="AB36" s="1811">
        <f t="shared" si="4"/>
        <v>1</v>
      </c>
      <c r="AC36" s="2673">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852"/>
      <c r="Q37" s="1810" t="str">
        <f t="shared" si="11"/>
        <v>成新度</v>
      </c>
      <c r="R37" s="774" t="s">
        <v>17</v>
      </c>
      <c r="S37" s="775" t="e">
        <f t="shared" si="12"/>
        <v>#N/A</v>
      </c>
      <c r="T37" s="774" t="s">
        <v>17</v>
      </c>
      <c r="U37" s="775" t="e">
        <f t="shared" si="13"/>
        <v>#N/A</v>
      </c>
      <c r="V37" s="774" t="s">
        <v>17</v>
      </c>
      <c r="W37" s="775" t="e">
        <f t="shared" si="14"/>
        <v>#N/A</v>
      </c>
      <c r="X37" s="1813"/>
      <c r="Y37" s="3854"/>
      <c r="Z37" s="1814" t="str">
        <f t="shared" si="15"/>
        <v>成新度</v>
      </c>
      <c r="AA37" s="1811" t="e">
        <f t="shared" si="3"/>
        <v>#N/A</v>
      </c>
      <c r="AB37" s="1811" t="e">
        <f t="shared" si="4"/>
        <v>#N/A</v>
      </c>
      <c r="AC37" s="2673"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852"/>
      <c r="Q38" s="1795" t="str">
        <f t="shared" si="11"/>
        <v>写字楼等级</v>
      </c>
      <c r="R38" s="770" t="s">
        <v>17</v>
      </c>
      <c r="S38" s="771">
        <f t="shared" si="12"/>
        <v>100</v>
      </c>
      <c r="T38" s="770" t="s">
        <v>17</v>
      </c>
      <c r="U38" s="771">
        <f t="shared" si="13"/>
        <v>100</v>
      </c>
      <c r="V38" s="770" t="s">
        <v>17</v>
      </c>
      <c r="W38" s="771">
        <f t="shared" si="14"/>
        <v>100</v>
      </c>
      <c r="X38" s="772"/>
      <c r="Y38" s="3854"/>
      <c r="Z38" s="55" t="str">
        <f t="shared" si="15"/>
        <v>写字楼等级</v>
      </c>
      <c r="AA38" s="773">
        <f t="shared" si="3"/>
        <v>1</v>
      </c>
      <c r="AB38" s="773">
        <f t="shared" si="4"/>
        <v>1</v>
      </c>
      <c r="AC38" s="2670">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852" t="s">
        <v>2566</v>
      </c>
      <c r="Q39" s="1810" t="str">
        <f t="shared" si="11"/>
        <v>物业管理</v>
      </c>
      <c r="R39" s="774" t="s">
        <v>17</v>
      </c>
      <c r="S39" s="775">
        <f t="shared" si="12"/>
        <v>100</v>
      </c>
      <c r="T39" s="774" t="s">
        <v>17</v>
      </c>
      <c r="U39" s="775">
        <f t="shared" si="13"/>
        <v>100</v>
      </c>
      <c r="V39" s="774" t="s">
        <v>17</v>
      </c>
      <c r="W39" s="775">
        <f t="shared" si="14"/>
        <v>100</v>
      </c>
      <c r="X39" s="1813"/>
      <c r="Y39" s="3854" t="s">
        <v>2566</v>
      </c>
      <c r="Z39" s="1814" t="str">
        <f t="shared" si="15"/>
        <v>物业管理</v>
      </c>
      <c r="AA39" s="1811">
        <f t="shared" si="3"/>
        <v>1</v>
      </c>
      <c r="AB39" s="1811">
        <f t="shared" si="4"/>
        <v>1</v>
      </c>
      <c r="AC39" s="2673">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852"/>
      <c r="Q40" s="1810" t="str">
        <f t="shared" si="11"/>
        <v>市政基础设施</v>
      </c>
      <c r="R40" s="774" t="s">
        <v>17</v>
      </c>
      <c r="S40" s="775">
        <f t="shared" si="12"/>
        <v>100</v>
      </c>
      <c r="T40" s="774" t="s">
        <v>17</v>
      </c>
      <c r="U40" s="775">
        <f t="shared" si="13"/>
        <v>100</v>
      </c>
      <c r="V40" s="774" t="s">
        <v>17</v>
      </c>
      <c r="W40" s="775">
        <f t="shared" si="14"/>
        <v>100</v>
      </c>
      <c r="X40" s="1813"/>
      <c r="Y40" s="3854"/>
      <c r="Z40" s="1814" t="str">
        <f t="shared" si="15"/>
        <v>市政基础设施</v>
      </c>
      <c r="AA40" s="1811">
        <f t="shared" si="3"/>
        <v>1</v>
      </c>
      <c r="AB40" s="1811">
        <f t="shared" si="4"/>
        <v>1</v>
      </c>
      <c r="AC40" s="2673">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852"/>
      <c r="Q41" s="1810" t="str">
        <f t="shared" si="11"/>
        <v>层高</v>
      </c>
      <c r="R41" s="774" t="s">
        <v>17</v>
      </c>
      <c r="S41" s="775">
        <f t="shared" si="12"/>
        <v>100</v>
      </c>
      <c r="T41" s="774" t="s">
        <v>17</v>
      </c>
      <c r="U41" s="775">
        <f t="shared" si="13"/>
        <v>100</v>
      </c>
      <c r="V41" s="774" t="s">
        <v>17</v>
      </c>
      <c r="W41" s="775">
        <f t="shared" si="14"/>
        <v>100</v>
      </c>
      <c r="X41" s="1813"/>
      <c r="Y41" s="3854"/>
      <c r="Z41" s="1814" t="str">
        <f t="shared" si="15"/>
        <v>层高</v>
      </c>
      <c r="AA41" s="1811">
        <f t="shared" si="3"/>
        <v>1</v>
      </c>
      <c r="AB41" s="1811">
        <f t="shared" si="4"/>
        <v>1</v>
      </c>
      <c r="AC41" s="2673">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852"/>
      <c r="Q42" s="776" t="str">
        <f t="shared" si="11"/>
        <v>单套建筑面积</v>
      </c>
      <c r="R42" s="777" t="s">
        <v>17</v>
      </c>
      <c r="S42" s="778">
        <f t="shared" si="12"/>
        <v>100</v>
      </c>
      <c r="T42" s="777" t="s">
        <v>17</v>
      </c>
      <c r="U42" s="778">
        <f t="shared" si="13"/>
        <v>100</v>
      </c>
      <c r="V42" s="777" t="s">
        <v>17</v>
      </c>
      <c r="W42" s="778">
        <f t="shared" si="14"/>
        <v>100</v>
      </c>
      <c r="X42" s="779"/>
      <c r="Y42" s="3854"/>
      <c r="Z42" s="780" t="str">
        <f t="shared" si="15"/>
        <v>单套建筑面积</v>
      </c>
      <c r="AA42" s="1811">
        <f t="shared" si="3"/>
        <v>1</v>
      </c>
      <c r="AB42" s="1811">
        <f t="shared" si="4"/>
        <v>1</v>
      </c>
      <c r="AC42" s="2673">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852"/>
      <c r="Q43" s="1810" t="str">
        <f t="shared" si="11"/>
        <v>内部装修</v>
      </c>
      <c r="R43" s="774" t="s">
        <v>17</v>
      </c>
      <c r="S43" s="775">
        <f t="shared" si="12"/>
        <v>100</v>
      </c>
      <c r="T43" s="774" t="s">
        <v>17</v>
      </c>
      <c r="U43" s="775">
        <f t="shared" si="13"/>
        <v>100</v>
      </c>
      <c r="V43" s="774" t="s">
        <v>17</v>
      </c>
      <c r="W43" s="775">
        <f t="shared" si="14"/>
        <v>100</v>
      </c>
      <c r="X43" s="1813"/>
      <c r="Y43" s="3854"/>
      <c r="Z43" s="1814" t="str">
        <f t="shared" si="15"/>
        <v>内部装修</v>
      </c>
      <c r="AA43" s="1811">
        <f t="shared" si="3"/>
        <v>1</v>
      </c>
      <c r="AB43" s="1811">
        <f t="shared" si="4"/>
        <v>1</v>
      </c>
      <c r="AC43" s="2673">
        <f t="shared" si="5"/>
        <v>1</v>
      </c>
    </row>
    <row r="44" spans="1:29" ht="15">
      <c r="A44" s="472"/>
      <c r="B44" s="422" t="s">
        <v>2577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852"/>
      <c r="Q44" s="1810" t="str">
        <f t="shared" si="11"/>
        <v>内部装修维护情况</v>
      </c>
      <c r="R44" s="774" t="s">
        <v>17</v>
      </c>
      <c r="S44" s="775">
        <f t="shared" si="12"/>
        <v>100</v>
      </c>
      <c r="T44" s="774" t="s">
        <v>17</v>
      </c>
      <c r="U44" s="775">
        <f t="shared" si="13"/>
        <v>100</v>
      </c>
      <c r="V44" s="774" t="s">
        <v>17</v>
      </c>
      <c r="W44" s="775">
        <f t="shared" si="14"/>
        <v>100</v>
      </c>
      <c r="X44" s="1813"/>
      <c r="Y44" s="3854"/>
      <c r="Z44" s="1814" t="str">
        <f t="shared" si="15"/>
        <v>内部装修维护情况</v>
      </c>
      <c r="AA44" s="1811">
        <f t="shared" si="3"/>
        <v>1</v>
      </c>
      <c r="AB44" s="1811">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852"/>
      <c r="Q45" s="1795">
        <f t="shared" si="11"/>
        <v>111</v>
      </c>
      <c r="R45" s="770" t="s">
        <v>17</v>
      </c>
      <c r="S45" s="771">
        <f t="shared" si="12"/>
        <v>100</v>
      </c>
      <c r="T45" s="770" t="s">
        <v>17</v>
      </c>
      <c r="U45" s="771">
        <f t="shared" si="13"/>
        <v>100</v>
      </c>
      <c r="V45" s="770" t="s">
        <v>17</v>
      </c>
      <c r="W45" s="771">
        <f t="shared" si="14"/>
        <v>100</v>
      </c>
      <c r="X45" s="772"/>
      <c r="Y45" s="3854"/>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852"/>
      <c r="Q46" s="1810">
        <f t="shared" si="11"/>
        <v>111</v>
      </c>
      <c r="R46" s="774" t="s">
        <v>17</v>
      </c>
      <c r="S46" s="775">
        <f t="shared" si="12"/>
        <v>100</v>
      </c>
      <c r="T46" s="774" t="s">
        <v>17</v>
      </c>
      <c r="U46" s="775">
        <f t="shared" si="13"/>
        <v>100</v>
      </c>
      <c r="V46" s="774" t="s">
        <v>17</v>
      </c>
      <c r="W46" s="775">
        <f t="shared" si="14"/>
        <v>100</v>
      </c>
      <c r="X46" s="1813"/>
      <c r="Y46" s="3854"/>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853"/>
      <c r="Q47" s="1810">
        <f t="shared" si="11"/>
        <v>111</v>
      </c>
      <c r="R47" s="774" t="s">
        <v>17</v>
      </c>
      <c r="S47" s="775">
        <f t="shared" si="12"/>
        <v>100</v>
      </c>
      <c r="T47" s="774" t="s">
        <v>17</v>
      </c>
      <c r="U47" s="775">
        <f t="shared" si="13"/>
        <v>100</v>
      </c>
      <c r="V47" s="774" t="s">
        <v>17</v>
      </c>
      <c r="W47" s="775">
        <f t="shared" si="14"/>
        <v>100</v>
      </c>
      <c r="X47" s="1813"/>
      <c r="Y47" s="3855"/>
      <c r="Z47" s="1814">
        <f t="shared" si="15"/>
        <v>111</v>
      </c>
      <c r="AA47" s="1811">
        <f t="shared" si="3"/>
        <v>1</v>
      </c>
      <c r="AB47" s="1811">
        <f t="shared" si="4"/>
        <v>1</v>
      </c>
      <c r="AC47" s="2673">
        <f t="shared" si="5"/>
        <v>1</v>
      </c>
    </row>
    <row r="48" spans="1:29" ht="15">
      <c r="A48" s="479" t="s">
        <v>2578</v>
      </c>
      <c r="B48" s="480"/>
      <c r="C48" s="1406" t="s">
        <v>1</v>
      </c>
      <c r="D48" s="1407"/>
      <c r="E48" s="1408"/>
      <c r="F48" s="1409"/>
      <c r="G48" s="1410"/>
      <c r="H48" s="1411"/>
      <c r="I48" s="1408"/>
      <c r="J48" s="485"/>
      <c r="K48" s="783"/>
      <c r="L48" s="1142"/>
      <c r="M48" s="1130"/>
      <c r="N48" s="1130"/>
      <c r="O48" s="1130"/>
      <c r="P48" s="3858" t="str">
        <f>A48</f>
        <v>成交单价（元/平方米）</v>
      </c>
      <c r="Q48" s="3847"/>
      <c r="R48" s="3848">
        <f>E48</f>
        <v>0</v>
      </c>
      <c r="S48" s="3848"/>
      <c r="T48" s="3848">
        <f>G48</f>
        <v>0</v>
      </c>
      <c r="U48" s="3848"/>
      <c r="V48" s="3848">
        <f>I48</f>
        <v>0</v>
      </c>
      <c r="W48" s="3848"/>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858" t="str">
        <f>A49</f>
        <v>比较价值（元/平方米）</v>
      </c>
      <c r="Q49" s="3847"/>
      <c r="R49" s="3848" t="e">
        <f>IF(F1="售价",ROUND(PRODUCT(R48,AA7:AA47),0),ROUND(PRODUCT(R48,AA7:AA47),1))</f>
        <v>#DIV/0!</v>
      </c>
      <c r="S49" s="3848"/>
      <c r="T49" s="3848" t="e">
        <f>IF(F1="售价",ROUND(PRODUCT(T48,AB7:AB47),0),ROUND(PRODUCT(T48,AB7:AB47),1))</f>
        <v>#DIV/0!</v>
      </c>
      <c r="U49" s="3848"/>
      <c r="V49" s="3848" t="e">
        <f>IF(F1="售价",ROUND(PRODUCT(V48,AC7:AC47),0),ROUND(PRODUCT(V48,AC7:AC47),1))</f>
        <v>#DIV/0!</v>
      </c>
      <c r="W49" s="3848"/>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4014" t="str">
        <f>A50</f>
        <v>估价对象XX用房的比较价值（楼面单价，元/平方米）</v>
      </c>
      <c r="Q50" s="4015"/>
      <c r="R50" s="4016" t="e">
        <f>IF(F1="售价",ROUND(AVERAGE(R49:V49),0),ROUND(AVERAGE(R49:V49),1))</f>
        <v>#DIV/0!</v>
      </c>
      <c r="S50" s="4016"/>
      <c r="T50" s="4016"/>
      <c r="U50" s="4016"/>
      <c r="V50" s="4016"/>
      <c r="W50" s="4016"/>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0"/>
      <c r="Q58" s="504"/>
    </row>
    <row r="59" spans="1:29" s="508" customFormat="1" ht="15">
      <c r="A59" s="505" t="s">
        <v>2549</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2586</v>
      </c>
      <c r="B61" s="516"/>
      <c r="C61" s="517"/>
      <c r="D61" s="518"/>
      <c r="E61" s="518"/>
      <c r="F61" s="518"/>
      <c r="G61" s="518"/>
      <c r="H61" s="518"/>
      <c r="I61" s="518"/>
      <c r="J61" s="518"/>
      <c r="K61" s="518"/>
      <c r="L61" s="518"/>
      <c r="M61" s="519"/>
      <c r="N61" s="518"/>
      <c r="O61" s="519"/>
      <c r="P61" s="2681"/>
      <c r="Q61" s="504"/>
    </row>
    <row r="62" spans="1:29" s="117" customFormat="1" ht="15">
      <c r="A62" s="521" t="s">
        <v>2551</v>
      </c>
      <c r="B62" s="510"/>
      <c r="C62" s="522" t="s">
        <v>2653</v>
      </c>
      <c r="D62" s="523"/>
      <c r="E62" s="523"/>
      <c r="F62" s="523"/>
      <c r="G62" s="523"/>
      <c r="H62" s="523"/>
      <c r="I62" s="523"/>
      <c r="J62" s="523"/>
      <c r="K62" s="523"/>
      <c r="L62" s="524"/>
      <c r="M62" s="525"/>
      <c r="N62" s="1150"/>
      <c r="O62" s="1150"/>
      <c r="P62" s="2682"/>
      <c r="Q62" s="504"/>
    </row>
    <row r="63" spans="1:29" s="117" customFormat="1" ht="15.75" thickBot="1">
      <c r="A63" s="521"/>
      <c r="B63" s="510"/>
      <c r="C63" s="511">
        <v>100</v>
      </c>
      <c r="D63" s="512"/>
      <c r="E63" s="512"/>
      <c r="F63" s="512"/>
      <c r="G63" s="512"/>
      <c r="H63" s="512"/>
      <c r="I63" s="512"/>
      <c r="J63" s="512"/>
      <c r="K63" s="512"/>
      <c r="L63" s="512"/>
      <c r="M63" s="514"/>
      <c r="N63" s="1150"/>
      <c r="O63" s="1150"/>
      <c r="P63" s="2681"/>
      <c r="Q63" s="504"/>
    </row>
    <row r="64" spans="1:29">
      <c r="A64" s="527" t="s">
        <v>2589</v>
      </c>
      <c r="B64" s="528" t="s">
        <v>2555</v>
      </c>
      <c r="C64" s="529">
        <f>C9</f>
        <v>0</v>
      </c>
      <c r="D64" s="530"/>
      <c r="E64" s="530"/>
      <c r="F64" s="530"/>
      <c r="G64" s="530"/>
      <c r="H64" s="530"/>
      <c r="I64" s="530"/>
      <c r="J64" s="530"/>
      <c r="K64" s="531"/>
      <c r="L64" s="532"/>
      <c r="M64" s="533"/>
      <c r="N64" s="1151"/>
      <c r="O64" s="1151"/>
      <c r="P64" s="2683"/>
      <c r="Q64" s="504"/>
    </row>
    <row r="65" spans="1:17" ht="15.75" thickBot="1">
      <c r="A65" s="534"/>
      <c r="B65" s="535"/>
      <c r="C65" s="536">
        <v>100</v>
      </c>
      <c r="D65" s="536"/>
      <c r="E65" s="536"/>
      <c r="F65" s="536"/>
      <c r="G65" s="536"/>
      <c r="H65" s="536"/>
      <c r="I65" s="536"/>
      <c r="J65" s="536"/>
      <c r="K65" s="536"/>
      <c r="L65" s="536"/>
      <c r="M65" s="537"/>
      <c r="N65" s="1152"/>
      <c r="O65" s="1152"/>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ht="15">
      <c r="A69" s="534"/>
      <c r="B69" s="548"/>
      <c r="C69" s="549"/>
      <c r="D69" s="549"/>
      <c r="E69" s="549"/>
      <c r="F69" s="549"/>
      <c r="G69" s="549"/>
      <c r="H69" s="549"/>
      <c r="I69" s="549"/>
      <c r="J69" s="549"/>
      <c r="K69" s="550"/>
      <c r="L69" s="551"/>
      <c r="M69" s="552"/>
      <c r="N69" s="1151"/>
      <c r="O69" s="1151"/>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5.75" thickTop="1">
      <c r="A71" s="553"/>
      <c r="B71" s="538">
        <f>B12</f>
        <v>111</v>
      </c>
      <c r="C71" s="554"/>
      <c r="D71" s="554"/>
      <c r="E71" s="554"/>
      <c r="F71" s="554"/>
      <c r="G71" s="554"/>
      <c r="H71" s="555"/>
      <c r="I71" s="555"/>
      <c r="J71" s="555"/>
      <c r="K71" s="555"/>
      <c r="L71" s="556"/>
      <c r="M71" s="557"/>
      <c r="N71" s="1153"/>
      <c r="O71" s="1153"/>
      <c r="P71" s="2684"/>
      <c r="Q71" s="559"/>
    </row>
    <row r="72" spans="1:17" s="471" customFormat="1" ht="15.75" thickBot="1">
      <c r="A72" s="553"/>
      <c r="B72" s="543"/>
      <c r="C72" s="560"/>
      <c r="D72" s="536"/>
      <c r="E72" s="536"/>
      <c r="F72" s="536"/>
      <c r="G72" s="536"/>
      <c r="H72" s="536"/>
      <c r="I72" s="536"/>
      <c r="J72" s="536"/>
      <c r="K72" s="536"/>
      <c r="L72" s="536"/>
      <c r="M72" s="537"/>
      <c r="N72" s="1152"/>
      <c r="O72" s="1152"/>
      <c r="P72" s="2684"/>
      <c r="Q72" s="559"/>
    </row>
    <row r="73" spans="1:17" s="471" customFormat="1" ht="15.75" thickTop="1">
      <c r="A73" s="553"/>
      <c r="B73" s="538">
        <f>B13</f>
        <v>111</v>
      </c>
      <c r="C73" s="554"/>
      <c r="D73" s="554"/>
      <c r="E73" s="554"/>
      <c r="F73" s="554"/>
      <c r="G73" s="554"/>
      <c r="H73" s="555"/>
      <c r="I73" s="555"/>
      <c r="J73" s="555"/>
      <c r="K73" s="555"/>
      <c r="L73" s="556"/>
      <c r="M73" s="557"/>
      <c r="N73" s="1153"/>
      <c r="O73" s="1153"/>
      <c r="P73" s="2685"/>
      <c r="Q73" s="561"/>
    </row>
    <row r="74" spans="1:17" s="471" customFormat="1" ht="15.75" thickBot="1">
      <c r="A74" s="553"/>
      <c r="B74" s="543"/>
      <c r="C74" s="560"/>
      <c r="D74" s="560"/>
      <c r="E74" s="560"/>
      <c r="F74" s="560"/>
      <c r="G74" s="560"/>
      <c r="H74" s="562"/>
      <c r="I74" s="562"/>
      <c r="J74" s="562"/>
      <c r="K74" s="562"/>
      <c r="L74" s="562"/>
      <c r="M74" s="563"/>
      <c r="N74" s="1153"/>
      <c r="O74" s="1153"/>
      <c r="P74" s="2684"/>
      <c r="Q74" s="559"/>
    </row>
    <row r="75" spans="1:17" s="471" customFormat="1" ht="15.75" thickTop="1">
      <c r="A75" s="553"/>
      <c r="B75" s="546">
        <f>B14</f>
        <v>111</v>
      </c>
      <c r="C75" s="523"/>
      <c r="D75" s="523"/>
      <c r="E75" s="523"/>
      <c r="F75" s="523"/>
      <c r="G75" s="523"/>
      <c r="H75" s="564"/>
      <c r="I75" s="564"/>
      <c r="J75" s="564"/>
      <c r="K75" s="564"/>
      <c r="L75" s="565"/>
      <c r="M75" s="566"/>
      <c r="N75" s="1153"/>
      <c r="O75" s="1153"/>
      <c r="P75" s="2686"/>
      <c r="Q75" s="559"/>
    </row>
    <row r="76" spans="1:17" s="471" customFormat="1" ht="15.75" thickBot="1">
      <c r="A76" s="568"/>
      <c r="B76" s="569"/>
      <c r="C76" s="570"/>
      <c r="D76" s="570"/>
      <c r="E76" s="570"/>
      <c r="F76" s="570"/>
      <c r="G76" s="570"/>
      <c r="H76" s="571"/>
      <c r="I76" s="571"/>
      <c r="J76" s="571"/>
      <c r="K76" s="571"/>
      <c r="L76" s="571"/>
      <c r="M76" s="572"/>
      <c r="N76" s="1153"/>
      <c r="O76" s="1153"/>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7.75" thickTop="1">
      <c r="A87" s="579"/>
      <c r="B87" s="538" t="s">
        <v>2700</v>
      </c>
      <c r="C87" s="554"/>
      <c r="D87" s="554"/>
      <c r="E87" s="554"/>
      <c r="F87" s="554"/>
      <c r="G87" s="554"/>
      <c r="H87" s="554"/>
      <c r="I87" s="554"/>
      <c r="J87" s="554"/>
      <c r="K87" s="554"/>
      <c r="L87" s="580"/>
      <c r="M87" s="581"/>
      <c r="N87" s="1150"/>
      <c r="O87" s="1150"/>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5.75"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5.75" thickTop="1">
      <c r="A93" s="534"/>
      <c r="B93" s="538">
        <f>B29</f>
        <v>111</v>
      </c>
      <c r="C93" s="554"/>
      <c r="D93" s="554"/>
      <c r="E93" s="554"/>
      <c r="F93" s="554"/>
      <c r="G93" s="554"/>
      <c r="H93" s="554"/>
      <c r="I93" s="554"/>
      <c r="J93" s="554"/>
      <c r="K93" s="554"/>
      <c r="L93" s="580"/>
      <c r="M93" s="581"/>
      <c r="N93" s="1151"/>
      <c r="O93" s="1151"/>
      <c r="P93" s="2683"/>
      <c r="Q93" s="504"/>
    </row>
    <row r="94" spans="1:17" ht="15.75" thickBot="1">
      <c r="A94" s="534"/>
      <c r="B94" s="543"/>
      <c r="C94" s="560"/>
      <c r="D94" s="536"/>
      <c r="E94" s="536"/>
      <c r="F94" s="536"/>
      <c r="G94" s="536"/>
      <c r="H94" s="536"/>
      <c r="I94" s="536"/>
      <c r="J94" s="536"/>
      <c r="K94" s="536"/>
      <c r="L94" s="536"/>
      <c r="M94" s="537"/>
      <c r="N94" s="1152"/>
      <c r="O94" s="1152"/>
      <c r="P94" s="2683"/>
      <c r="Q94" s="504"/>
    </row>
    <row r="95" spans="1:17" ht="15.75" thickTop="1">
      <c r="A95" s="534"/>
      <c r="B95" s="538">
        <f>B30</f>
        <v>111</v>
      </c>
      <c r="C95" s="554"/>
      <c r="D95" s="554"/>
      <c r="E95" s="554"/>
      <c r="F95" s="554"/>
      <c r="G95" s="583"/>
      <c r="H95" s="583"/>
      <c r="I95" s="583"/>
      <c r="J95" s="583"/>
      <c r="K95" s="584"/>
      <c r="L95" s="585"/>
      <c r="M95" s="586"/>
      <c r="N95" s="1151"/>
      <c r="O95" s="1151"/>
      <c r="P95" s="2683"/>
      <c r="Q95" s="504"/>
    </row>
    <row r="96" spans="1:17" ht="15.75" thickBot="1">
      <c r="A96" s="534"/>
      <c r="B96" s="543"/>
      <c r="C96" s="560"/>
      <c r="D96" s="560"/>
      <c r="E96" s="560"/>
      <c r="F96" s="560"/>
      <c r="G96" s="536"/>
      <c r="H96" s="536"/>
      <c r="I96" s="536"/>
      <c r="J96" s="536"/>
      <c r="K96" s="536"/>
      <c r="L96" s="536"/>
      <c r="M96" s="537"/>
      <c r="N96" s="1152"/>
      <c r="O96" s="1152"/>
      <c r="P96" s="2683"/>
      <c r="Q96" s="504"/>
    </row>
    <row r="97" spans="1:17" ht="15.75" thickTop="1">
      <c r="A97" s="534"/>
      <c r="B97" s="538">
        <f>B31</f>
        <v>111</v>
      </c>
      <c r="C97" s="554"/>
      <c r="D97" s="554"/>
      <c r="E97" s="554"/>
      <c r="F97" s="554"/>
      <c r="G97" s="583"/>
      <c r="H97" s="583"/>
      <c r="I97" s="583"/>
      <c r="J97" s="583"/>
      <c r="K97" s="584"/>
      <c r="L97" s="585"/>
      <c r="M97" s="586"/>
      <c r="N97" s="1151"/>
      <c r="O97" s="1151"/>
      <c r="P97" s="2683"/>
      <c r="Q97" s="504"/>
    </row>
    <row r="98" spans="1:17" ht="15.75" thickBot="1">
      <c r="A98" s="534"/>
      <c r="B98" s="543"/>
      <c r="C98" s="560"/>
      <c r="D98" s="536"/>
      <c r="E98" s="536"/>
      <c r="F98" s="536"/>
      <c r="G98" s="536"/>
      <c r="H98" s="536"/>
      <c r="I98" s="536"/>
      <c r="J98" s="536"/>
      <c r="K98" s="536"/>
      <c r="L98" s="536"/>
      <c r="M98" s="537"/>
      <c r="N98" s="1152"/>
      <c r="O98" s="1152"/>
      <c r="P98" s="2683"/>
      <c r="Q98" s="504"/>
    </row>
    <row r="99" spans="1:17" ht="15.75" thickTop="1">
      <c r="A99" s="534"/>
      <c r="B99" s="546">
        <f>B32</f>
        <v>111</v>
      </c>
      <c r="C99" s="523"/>
      <c r="D99" s="523"/>
      <c r="E99" s="523"/>
      <c r="F99" s="523"/>
      <c r="G99" s="587"/>
      <c r="H99" s="587"/>
      <c r="I99" s="587"/>
      <c r="J99" s="587"/>
      <c r="K99" s="588"/>
      <c r="L99" s="589"/>
      <c r="M99" s="590"/>
      <c r="N99" s="1151"/>
      <c r="O99" s="1151"/>
      <c r="P99" s="2683"/>
      <c r="Q99" s="504"/>
    </row>
    <row r="100" spans="1:17" ht="15.75" thickBot="1">
      <c r="A100" s="2635"/>
      <c r="B100" s="569"/>
      <c r="C100" s="570"/>
      <c r="D100" s="570"/>
      <c r="E100" s="570"/>
      <c r="F100" s="570"/>
      <c r="G100" s="591"/>
      <c r="H100" s="591"/>
      <c r="I100" s="591"/>
      <c r="J100" s="591"/>
      <c r="K100" s="591"/>
      <c r="L100" s="591"/>
      <c r="M100" s="592"/>
      <c r="N100" s="1152"/>
      <c r="O100" s="1152"/>
      <c r="P100" s="2683"/>
      <c r="Q100" s="504"/>
    </row>
    <row r="101" spans="1:17">
      <c r="A101" s="527" t="s">
        <v>2564</v>
      </c>
      <c r="B101" s="528" t="s">
        <v>2613</v>
      </c>
      <c r="C101" s="530"/>
      <c r="D101" s="530"/>
      <c r="E101" s="530"/>
      <c r="F101" s="530"/>
      <c r="G101" s="530"/>
      <c r="H101" s="530"/>
      <c r="I101" s="530"/>
      <c r="J101" s="530"/>
      <c r="K101" s="531"/>
      <c r="L101" s="532"/>
      <c r="M101" s="533"/>
      <c r="N101" s="1151"/>
      <c r="O101" s="1151"/>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2615</v>
      </c>
      <c r="C106" s="554"/>
      <c r="D106" s="554"/>
      <c r="E106" s="583"/>
      <c r="F106" s="583"/>
      <c r="G106" s="583"/>
      <c r="H106" s="583"/>
      <c r="I106" s="583"/>
      <c r="J106" s="583"/>
      <c r="K106" s="584"/>
      <c r="L106" s="585"/>
      <c r="M106" s="586"/>
      <c r="N106" s="1151"/>
      <c r="O106" s="1151"/>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2617</v>
      </c>
      <c r="C108" s="554"/>
      <c r="D108" s="554"/>
      <c r="E108" s="554"/>
      <c r="F108" s="583"/>
      <c r="G108" s="583"/>
      <c r="H108" s="583"/>
      <c r="I108" s="583"/>
      <c r="J108" s="583"/>
      <c r="K108" s="584"/>
      <c r="L108" s="585"/>
      <c r="M108" s="586"/>
      <c r="N108" s="1151"/>
      <c r="O108" s="1151"/>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2618</v>
      </c>
      <c r="C115" s="554"/>
      <c r="D115" s="554"/>
      <c r="E115" s="583"/>
      <c r="F115" s="583"/>
      <c r="G115" s="583"/>
      <c r="H115" s="583"/>
      <c r="I115" s="583"/>
      <c r="J115" s="583"/>
      <c r="K115" s="584"/>
      <c r="L115" s="585"/>
      <c r="M115" s="586"/>
      <c r="N115" s="1151"/>
      <c r="O115" s="1151"/>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2619</v>
      </c>
      <c r="C117" s="554"/>
      <c r="D117" s="554"/>
      <c r="E117" s="554"/>
      <c r="F117" s="554"/>
      <c r="G117" s="554"/>
      <c r="H117" s="583"/>
      <c r="I117" s="583"/>
      <c r="J117" s="583"/>
      <c r="K117" s="584"/>
      <c r="L117" s="585"/>
      <c r="M117" s="586"/>
      <c r="N117" s="1151"/>
      <c r="O117" s="1151"/>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2702</v>
      </c>
      <c r="C119" s="583"/>
      <c r="D119" s="583"/>
      <c r="E119" s="583"/>
      <c r="F119" s="583"/>
      <c r="G119" s="583"/>
      <c r="H119" s="583"/>
      <c r="I119" s="583"/>
      <c r="J119" s="583"/>
      <c r="K119" s="583"/>
      <c r="L119" s="2688"/>
      <c r="M119" s="2689"/>
      <c r="N119" s="1152"/>
      <c r="O119" s="1152"/>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2621</v>
      </c>
      <c r="C123" s="554"/>
      <c r="D123" s="554"/>
      <c r="E123" s="554"/>
      <c r="F123" s="583"/>
      <c r="G123" s="583"/>
      <c r="H123" s="583"/>
      <c r="I123" s="583"/>
      <c r="J123" s="583"/>
      <c r="K123" s="584"/>
      <c r="L123" s="585"/>
      <c r="M123" s="586"/>
      <c r="N123" s="1151"/>
      <c r="O123" s="1151"/>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4"/>
      <c r="Q128" s="559"/>
    </row>
    <row r="129" spans="1:17" ht="15" thickTop="1">
      <c r="A129" s="599"/>
      <c r="B129" s="538">
        <f>B46</f>
        <v>111</v>
      </c>
      <c r="C129" s="554"/>
      <c r="D129" s="554"/>
      <c r="E129" s="554"/>
      <c r="F129" s="554"/>
      <c r="G129" s="583"/>
      <c r="H129" s="583"/>
      <c r="I129" s="583"/>
      <c r="J129" s="583"/>
      <c r="K129" s="584"/>
      <c r="L129" s="585"/>
      <c r="M129" s="586"/>
      <c r="N129" s="1151"/>
      <c r="O129" s="1151"/>
      <c r="P129" s="2683"/>
      <c r="Q129" s="504"/>
    </row>
    <row r="130" spans="1:17" ht="15.75" thickBot="1">
      <c r="A130" s="534"/>
      <c r="B130" s="543"/>
      <c r="C130" s="560"/>
      <c r="D130" s="560"/>
      <c r="E130" s="560"/>
      <c r="F130" s="560"/>
      <c r="G130" s="536"/>
      <c r="H130" s="536"/>
      <c r="I130" s="536"/>
      <c r="J130" s="536"/>
      <c r="K130" s="536"/>
      <c r="L130" s="536"/>
      <c r="M130" s="537"/>
      <c r="N130" s="1152"/>
      <c r="O130" s="1152"/>
      <c r="P130" s="2683"/>
      <c r="Q130" s="504"/>
    </row>
    <row r="131" spans="1:17" ht="15" thickTop="1">
      <c r="A131" s="599"/>
      <c r="B131" s="546">
        <f>B47</f>
        <v>111</v>
      </c>
      <c r="C131" s="523"/>
      <c r="D131" s="523"/>
      <c r="E131" s="523"/>
      <c r="F131" s="523"/>
      <c r="G131" s="587"/>
      <c r="H131" s="587"/>
      <c r="I131" s="587"/>
      <c r="J131" s="587"/>
      <c r="K131" s="523"/>
      <c r="L131" s="524"/>
      <c r="M131" s="590"/>
      <c r="N131" s="1151"/>
      <c r="O131" s="1151"/>
      <c r="P131" s="2683"/>
      <c r="Q131" s="504"/>
    </row>
    <row r="132" spans="1:17" ht="15.75"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2703</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5"/>
      <c r="D2" s="1123"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79847.06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57">
      <c r="A15" s="440" t="s">
        <v>2560</v>
      </c>
      <c r="B15" s="69"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849" t="s">
        <v>2561</v>
      </c>
      <c r="Q15" s="1810" t="str">
        <f t="shared" si="6"/>
        <v>产业集聚程度</v>
      </c>
      <c r="R15" s="774" t="s">
        <v>17</v>
      </c>
      <c r="S15" s="775">
        <f t="shared" si="0"/>
        <v>100</v>
      </c>
      <c r="T15" s="774" t="s">
        <v>17</v>
      </c>
      <c r="U15" s="775">
        <f t="shared" si="1"/>
        <v>100</v>
      </c>
      <c r="V15" s="774" t="s">
        <v>17</v>
      </c>
      <c r="W15" s="775">
        <f t="shared" si="2"/>
        <v>100</v>
      </c>
      <c r="X15" s="1813"/>
      <c r="Y15" s="3849"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850"/>
      <c r="Q16" s="1810"/>
      <c r="R16" s="774"/>
      <c r="S16" s="775"/>
      <c r="T16" s="774"/>
      <c r="U16" s="775"/>
      <c r="V16" s="774"/>
      <c r="W16" s="775"/>
      <c r="X16" s="1813"/>
      <c r="Y16" s="3850"/>
      <c r="Z16" s="1814"/>
      <c r="AA16" s="1811">
        <v>1</v>
      </c>
      <c r="AB16" s="1811">
        <v>1</v>
      </c>
      <c r="AC16" s="1811">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850"/>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39"/>
      <c r="M18" s="1130"/>
      <c r="N18" s="1130"/>
      <c r="O18" s="1138"/>
      <c r="P18" s="3850"/>
      <c r="Q18" s="1810"/>
      <c r="R18" s="774"/>
      <c r="S18" s="775"/>
      <c r="T18" s="774"/>
      <c r="U18" s="775"/>
      <c r="V18" s="774"/>
      <c r="W18" s="775"/>
      <c r="X18" s="1813"/>
      <c r="Y18" s="3850"/>
      <c r="Z18" s="1814"/>
      <c r="AA18" s="1811">
        <v>1</v>
      </c>
      <c r="AB18" s="1811">
        <v>1</v>
      </c>
      <c r="AC18" s="1811">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850"/>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39"/>
      <c r="M20" s="1130"/>
      <c r="N20" s="1130"/>
      <c r="O20" s="1138"/>
      <c r="P20" s="3850"/>
      <c r="Q20" s="1810"/>
      <c r="R20" s="774"/>
      <c r="S20" s="775"/>
      <c r="T20" s="774"/>
      <c r="U20" s="775"/>
      <c r="V20" s="774"/>
      <c r="W20" s="775"/>
      <c r="X20" s="1813"/>
      <c r="Y20" s="3850"/>
      <c r="Z20" s="1814"/>
      <c r="AA20" s="1811">
        <v>1</v>
      </c>
      <c r="AB20" s="1811">
        <v>1</v>
      </c>
      <c r="AC20" s="1811">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850"/>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9"/>
      <c r="G22" s="447"/>
      <c r="H22" s="448"/>
      <c r="I22" s="447"/>
      <c r="J22" s="448"/>
      <c r="K22" s="1382"/>
      <c r="L22" s="1139"/>
      <c r="M22" s="1130"/>
      <c r="N22" s="1130"/>
      <c r="O22" s="1138"/>
      <c r="P22" s="3850"/>
      <c r="Q22" s="1810"/>
      <c r="R22" s="774"/>
      <c r="S22" s="775"/>
      <c r="T22" s="774"/>
      <c r="U22" s="775"/>
      <c r="V22" s="774"/>
      <c r="W22" s="775"/>
      <c r="X22" s="1813"/>
      <c r="Y22" s="3850"/>
      <c r="Z22" s="1814"/>
      <c r="AA22" s="1811">
        <v>1</v>
      </c>
      <c r="AB22" s="1811">
        <v>1</v>
      </c>
      <c r="AC22" s="1811">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850"/>
      <c r="Q23" s="1810" t="str">
        <f>B23</f>
        <v>环境质量</v>
      </c>
      <c r="R23" s="774" t="s">
        <v>17</v>
      </c>
      <c r="S23" s="775">
        <f>F23</f>
        <v>100</v>
      </c>
      <c r="T23" s="774" t="s">
        <v>17</v>
      </c>
      <c r="U23" s="775">
        <f>H23</f>
        <v>100</v>
      </c>
      <c r="V23" s="774" t="s">
        <v>17</v>
      </c>
      <c r="W23" s="775">
        <f>J23</f>
        <v>100</v>
      </c>
      <c r="X23" s="1813"/>
      <c r="Y23" s="3850"/>
      <c r="Z23" s="1814" t="str">
        <f>Q23</f>
        <v>环境质量</v>
      </c>
      <c r="AA23" s="1811">
        <f t="shared" si="3"/>
        <v>1</v>
      </c>
      <c r="AB23" s="1811">
        <f t="shared" si="4"/>
        <v>1</v>
      </c>
      <c r="AC23" s="1811">
        <f t="shared" si="5"/>
        <v>1</v>
      </c>
    </row>
    <row r="24" spans="1:29" ht="15">
      <c r="A24" s="428"/>
      <c r="B24" s="1383"/>
      <c r="C24" s="447"/>
      <c r="D24" s="448"/>
      <c r="E24" s="2604"/>
      <c r="F24" s="449"/>
      <c r="G24" s="2603"/>
      <c r="H24" s="448"/>
      <c r="I24" s="2604"/>
      <c r="J24" s="448"/>
      <c r="K24" s="615"/>
      <c r="L24" s="1139"/>
      <c r="M24" s="1130"/>
      <c r="N24" s="1130"/>
      <c r="O24" s="1138"/>
      <c r="P24" s="3850"/>
      <c r="Q24" s="1810"/>
      <c r="R24" s="774"/>
      <c r="S24" s="775"/>
      <c r="T24" s="774"/>
      <c r="U24" s="775"/>
      <c r="V24" s="774"/>
      <c r="W24" s="775"/>
      <c r="X24" s="1813"/>
      <c r="Y24" s="3850"/>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850"/>
      <c r="Q25" s="1810">
        <f>B25</f>
        <v>111</v>
      </c>
      <c r="R25" s="774" t="s">
        <v>17</v>
      </c>
      <c r="S25" s="775">
        <f>F25</f>
        <v>100</v>
      </c>
      <c r="T25" s="774" t="s">
        <v>17</v>
      </c>
      <c r="U25" s="775">
        <f>H25</f>
        <v>100</v>
      </c>
      <c r="V25" s="774" t="s">
        <v>17</v>
      </c>
      <c r="W25" s="775">
        <f>J25</f>
        <v>100</v>
      </c>
      <c r="X25" s="1813"/>
      <c r="Y25" s="3850"/>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850"/>
      <c r="Q26" s="1810">
        <f t="shared" ref="Q26:Q40" si="11">B26</f>
        <v>111</v>
      </c>
      <c r="R26" s="774" t="s">
        <v>17</v>
      </c>
      <c r="S26" s="775">
        <f>F26</f>
        <v>100</v>
      </c>
      <c r="T26" s="774" t="s">
        <v>17</v>
      </c>
      <c r="U26" s="775">
        <f>H26</f>
        <v>100</v>
      </c>
      <c r="V26" s="774" t="s">
        <v>17</v>
      </c>
      <c r="W26" s="775">
        <f>J26</f>
        <v>100</v>
      </c>
      <c r="X26" s="1813"/>
      <c r="Y26" s="3850"/>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850"/>
      <c r="Q27" s="1795">
        <f t="shared" si="11"/>
        <v>111</v>
      </c>
      <c r="R27" s="770" t="s">
        <v>17</v>
      </c>
      <c r="S27" s="771">
        <f>F27</f>
        <v>100</v>
      </c>
      <c r="T27" s="770" t="s">
        <v>17</v>
      </c>
      <c r="U27" s="771">
        <f>H27</f>
        <v>100</v>
      </c>
      <c r="V27" s="770" t="s">
        <v>17</v>
      </c>
      <c r="W27" s="771">
        <f>J27</f>
        <v>100</v>
      </c>
      <c r="X27" s="772"/>
      <c r="Y27" s="3850"/>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850"/>
      <c r="Q28" s="1810">
        <f t="shared" si="11"/>
        <v>111</v>
      </c>
      <c r="R28" s="774" t="s">
        <v>17</v>
      </c>
      <c r="S28" s="775">
        <f t="shared" ref="S28:S40" si="12">F28</f>
        <v>100</v>
      </c>
      <c r="T28" s="774" t="s">
        <v>17</v>
      </c>
      <c r="U28" s="775">
        <f t="shared" ref="U28:U40" si="13">H28</f>
        <v>100</v>
      </c>
      <c r="V28" s="774" t="s">
        <v>17</v>
      </c>
      <c r="W28" s="775">
        <f t="shared" ref="W28:W40" si="14">J28</f>
        <v>100</v>
      </c>
      <c r="X28" s="1813"/>
      <c r="Y28" s="3850"/>
      <c r="Z28" s="1814">
        <f t="shared" ref="Z28:Z40" si="15">Q28</f>
        <v>111</v>
      </c>
      <c r="AA28" s="1811">
        <f t="shared" si="3"/>
        <v>1</v>
      </c>
      <c r="AB28" s="1811">
        <f t="shared" si="4"/>
        <v>1</v>
      </c>
      <c r="AC28" s="1811">
        <f t="shared" si="5"/>
        <v>1</v>
      </c>
    </row>
    <row r="29" spans="1:29" ht="15">
      <c r="A29" s="466" t="s">
        <v>2564</v>
      </c>
      <c r="B29" s="71"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4029" t="s">
        <v>2566</v>
      </c>
      <c r="Q29" s="1810" t="str">
        <f t="shared" si="11"/>
        <v>建筑类型</v>
      </c>
      <c r="R29" s="774" t="s">
        <v>17</v>
      </c>
      <c r="S29" s="775">
        <f t="shared" si="12"/>
        <v>100</v>
      </c>
      <c r="T29" s="774" t="s">
        <v>17</v>
      </c>
      <c r="U29" s="775">
        <f t="shared" si="13"/>
        <v>100</v>
      </c>
      <c r="V29" s="774" t="s">
        <v>17</v>
      </c>
      <c r="W29" s="775">
        <f t="shared" si="14"/>
        <v>100</v>
      </c>
      <c r="X29" s="1813"/>
      <c r="Y29" s="3854"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854"/>
      <c r="Q30" s="776" t="str">
        <f t="shared" si="11"/>
        <v>项目建筑规模</v>
      </c>
      <c r="R30" s="777" t="s">
        <v>17</v>
      </c>
      <c r="S30" s="778" t="e">
        <f t="shared" si="12"/>
        <v>#N/A</v>
      </c>
      <c r="T30" s="777" t="s">
        <v>17</v>
      </c>
      <c r="U30" s="778" t="e">
        <f t="shared" si="13"/>
        <v>#N/A</v>
      </c>
      <c r="V30" s="777" t="s">
        <v>17</v>
      </c>
      <c r="W30" s="778" t="e">
        <f t="shared" si="14"/>
        <v>#N/A</v>
      </c>
      <c r="X30" s="779"/>
      <c r="Y30" s="3854"/>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854"/>
      <c r="Q31" s="1810" t="str">
        <f t="shared" si="11"/>
        <v>建筑结构</v>
      </c>
      <c r="R31" s="774" t="s">
        <v>17</v>
      </c>
      <c r="S31" s="775">
        <f t="shared" si="12"/>
        <v>100</v>
      </c>
      <c r="T31" s="774" t="s">
        <v>17</v>
      </c>
      <c r="U31" s="775">
        <f t="shared" si="13"/>
        <v>100</v>
      </c>
      <c r="V31" s="774" t="s">
        <v>17</v>
      </c>
      <c r="W31" s="775">
        <f t="shared" si="14"/>
        <v>100</v>
      </c>
      <c r="X31" s="1813"/>
      <c r="Y31" s="3854"/>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854"/>
      <c r="Q32" s="1810" t="str">
        <f t="shared" si="11"/>
        <v>公共部分装修</v>
      </c>
      <c r="R32" s="774" t="s">
        <v>17</v>
      </c>
      <c r="S32" s="775">
        <f t="shared" si="12"/>
        <v>100</v>
      </c>
      <c r="T32" s="774" t="s">
        <v>17</v>
      </c>
      <c r="U32" s="775">
        <f t="shared" si="13"/>
        <v>100</v>
      </c>
      <c r="V32" s="774" t="s">
        <v>17</v>
      </c>
      <c r="W32" s="775">
        <f t="shared" si="14"/>
        <v>100</v>
      </c>
      <c r="X32" s="1813"/>
      <c r="Y32" s="3854"/>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854"/>
      <c r="Q33" s="1810" t="str">
        <f t="shared" si="11"/>
        <v>成新度</v>
      </c>
      <c r="R33" s="774" t="s">
        <v>17</v>
      </c>
      <c r="S33" s="775" t="e">
        <f t="shared" si="12"/>
        <v>#N/A</v>
      </c>
      <c r="T33" s="774" t="s">
        <v>17</v>
      </c>
      <c r="U33" s="775" t="e">
        <f t="shared" si="13"/>
        <v>#N/A</v>
      </c>
      <c r="V33" s="774" t="s">
        <v>17</v>
      </c>
      <c r="W33" s="775" t="e">
        <f t="shared" si="14"/>
        <v>#N/A</v>
      </c>
      <c r="X33" s="1813"/>
      <c r="Y33" s="3854"/>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854"/>
      <c r="Q34" s="1795" t="str">
        <f t="shared" si="11"/>
        <v>物业管理</v>
      </c>
      <c r="R34" s="770" t="s">
        <v>17</v>
      </c>
      <c r="S34" s="771">
        <f t="shared" si="12"/>
        <v>100</v>
      </c>
      <c r="T34" s="770" t="s">
        <v>17</v>
      </c>
      <c r="U34" s="771">
        <f t="shared" si="13"/>
        <v>100</v>
      </c>
      <c r="V34" s="770" t="s">
        <v>17</v>
      </c>
      <c r="W34" s="771">
        <f t="shared" si="14"/>
        <v>100</v>
      </c>
      <c r="X34" s="772"/>
      <c r="Y34" s="385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854" t="s">
        <v>2566</v>
      </c>
      <c r="Q35" s="1810" t="str">
        <f t="shared" si="11"/>
        <v>市政基础设施</v>
      </c>
      <c r="R35" s="774" t="s">
        <v>17</v>
      </c>
      <c r="S35" s="775">
        <f t="shared" si="12"/>
        <v>100</v>
      </c>
      <c r="T35" s="774" t="s">
        <v>17</v>
      </c>
      <c r="U35" s="775">
        <f t="shared" si="13"/>
        <v>100</v>
      </c>
      <c r="V35" s="774" t="s">
        <v>17</v>
      </c>
      <c r="W35" s="775">
        <f t="shared" si="14"/>
        <v>100</v>
      </c>
      <c r="X35" s="1813"/>
      <c r="Y35" s="3854"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854"/>
      <c r="Q36" s="1810" t="str">
        <f t="shared" si="11"/>
        <v>内部装修</v>
      </c>
      <c r="R36" s="774" t="s">
        <v>17</v>
      </c>
      <c r="S36" s="775">
        <f t="shared" si="12"/>
        <v>100</v>
      </c>
      <c r="T36" s="774" t="s">
        <v>17</v>
      </c>
      <c r="U36" s="775">
        <f t="shared" si="13"/>
        <v>100</v>
      </c>
      <c r="V36" s="774" t="s">
        <v>17</v>
      </c>
      <c r="W36" s="775">
        <f t="shared" si="14"/>
        <v>100</v>
      </c>
      <c r="X36" s="1813"/>
      <c r="Y36" s="3854"/>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854"/>
      <c r="Q37" s="1810" t="str">
        <f t="shared" si="11"/>
        <v>内部装修状况</v>
      </c>
      <c r="R37" s="774" t="s">
        <v>17</v>
      </c>
      <c r="S37" s="775">
        <f t="shared" si="12"/>
        <v>100</v>
      </c>
      <c r="T37" s="774" t="s">
        <v>17</v>
      </c>
      <c r="U37" s="775">
        <f t="shared" si="13"/>
        <v>100</v>
      </c>
      <c r="V37" s="774" t="s">
        <v>17</v>
      </c>
      <c r="W37" s="775">
        <f t="shared" si="14"/>
        <v>100</v>
      </c>
      <c r="X37" s="1813"/>
      <c r="Y37" s="3854"/>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854"/>
      <c r="Q38" s="776">
        <f t="shared" si="11"/>
        <v>111</v>
      </c>
      <c r="R38" s="777" t="s">
        <v>17</v>
      </c>
      <c r="S38" s="778">
        <f t="shared" si="12"/>
        <v>100</v>
      </c>
      <c r="T38" s="777" t="s">
        <v>17</v>
      </c>
      <c r="U38" s="778">
        <f t="shared" si="13"/>
        <v>100</v>
      </c>
      <c r="V38" s="777" t="s">
        <v>17</v>
      </c>
      <c r="W38" s="778">
        <f t="shared" si="14"/>
        <v>100</v>
      </c>
      <c r="X38" s="779"/>
      <c r="Y38" s="3854"/>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854"/>
      <c r="Q39" s="1810">
        <f t="shared" si="11"/>
        <v>111</v>
      </c>
      <c r="R39" s="774" t="s">
        <v>17</v>
      </c>
      <c r="S39" s="775">
        <f t="shared" si="12"/>
        <v>100</v>
      </c>
      <c r="T39" s="774" t="s">
        <v>17</v>
      </c>
      <c r="U39" s="775">
        <f t="shared" si="13"/>
        <v>100</v>
      </c>
      <c r="V39" s="774" t="s">
        <v>17</v>
      </c>
      <c r="W39" s="775">
        <f t="shared" si="14"/>
        <v>100</v>
      </c>
      <c r="X39" s="1813"/>
      <c r="Y39" s="3854"/>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855"/>
      <c r="Q40" s="1810">
        <f t="shared" si="11"/>
        <v>111</v>
      </c>
      <c r="R40" s="774" t="s">
        <v>17</v>
      </c>
      <c r="S40" s="775">
        <f t="shared" si="12"/>
        <v>100</v>
      </c>
      <c r="T40" s="774" t="s">
        <v>17</v>
      </c>
      <c r="U40" s="775">
        <f t="shared" si="13"/>
        <v>100</v>
      </c>
      <c r="V40" s="774" t="s">
        <v>17</v>
      </c>
      <c r="W40" s="775">
        <f t="shared" si="14"/>
        <v>100</v>
      </c>
      <c r="X40" s="1813"/>
      <c r="Y40" s="3855"/>
      <c r="Z40" s="1814">
        <f t="shared" si="15"/>
        <v>111</v>
      </c>
      <c r="AA40" s="1811">
        <f t="shared" si="3"/>
        <v>1</v>
      </c>
      <c r="AB40" s="1811">
        <f t="shared" si="4"/>
        <v>1</v>
      </c>
      <c r="AC40" s="1811">
        <f t="shared" si="5"/>
        <v>1</v>
      </c>
    </row>
    <row r="41" spans="1:29" ht="15">
      <c r="A41" s="479" t="s">
        <v>2578</v>
      </c>
      <c r="B41" s="480"/>
      <c r="C41" s="1406" t="s">
        <v>1</v>
      </c>
      <c r="D41" s="1407"/>
      <c r="E41" s="1408"/>
      <c r="F41" s="1409"/>
      <c r="G41" s="1410"/>
      <c r="H41" s="1411"/>
      <c r="I41" s="1408"/>
      <c r="J41" s="1411"/>
      <c r="K41" s="783"/>
      <c r="L41" s="1142"/>
      <c r="M41" s="1143"/>
      <c r="N41" s="1130"/>
      <c r="O41" s="1143"/>
      <c r="P41" s="3847" t="str">
        <f>A41</f>
        <v>成交单价（元/平方米）</v>
      </c>
      <c r="Q41" s="3847"/>
      <c r="R41" s="3848">
        <f>E41</f>
        <v>0</v>
      </c>
      <c r="S41" s="3848"/>
      <c r="T41" s="3848">
        <f>G41</f>
        <v>0</v>
      </c>
      <c r="U41" s="3848"/>
      <c r="V41" s="3848">
        <f>I41</f>
        <v>0</v>
      </c>
      <c r="W41" s="3848"/>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847" t="str">
        <f>A42</f>
        <v>比较价值（元/平方米）</v>
      </c>
      <c r="Q42" s="3847"/>
      <c r="R42" s="3848" t="e">
        <f>IF(F1="售价",ROUND(PRODUCT(R41,AA7:AA40),0),ROUND(PRODUCT(R41,AA7:AA40),1))</f>
        <v>#DIV/0!</v>
      </c>
      <c r="S42" s="3848"/>
      <c r="T42" s="3848" t="e">
        <f>IF(F1="售价",ROUND(PRODUCT(T41,AB7:AB40),0),ROUND(PRODUCT(T41,AB7:AB40),1))</f>
        <v>#DIV/0!</v>
      </c>
      <c r="U42" s="3848"/>
      <c r="V42" s="3848" t="e">
        <f>IF(F1="售价",ROUND(PRODUCT(V41,AC7:AC40),0),ROUND(PRODUCT(V41,AC7:AC40),1))</f>
        <v>#DIV/0!</v>
      </c>
      <c r="W42" s="3848"/>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844" t="str">
        <f>A43</f>
        <v>估价对象XX用房的比较价值（楼面单价，元/平方米）</v>
      </c>
      <c r="Q43" s="3845"/>
      <c r="R43" s="3846" t="e">
        <f>IF(F1="售价",ROUND(AVERAGE(R42:V42),0),ROUND(AVERAGE(R42:V42),1))</f>
        <v>#DIV/0!</v>
      </c>
      <c r="S43" s="3846"/>
      <c r="T43" s="3846"/>
      <c r="U43" s="3846"/>
      <c r="V43" s="3846"/>
      <c r="W43" s="384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2" t="s">
        <v>2537</v>
      </c>
      <c r="D4" s="3863"/>
      <c r="E4" s="3864" t="s">
        <v>2538</v>
      </c>
      <c r="F4" s="3865"/>
      <c r="G4" s="3862" t="s">
        <v>2539</v>
      </c>
      <c r="H4" s="3863"/>
      <c r="I4" s="3862" t="s">
        <v>2540</v>
      </c>
      <c r="J4" s="3863"/>
      <c r="K4" s="2595" t="s">
        <v>2541</v>
      </c>
      <c r="L4" s="1129"/>
      <c r="M4" s="1130"/>
      <c r="N4" s="1130"/>
      <c r="O4" s="1130"/>
      <c r="P4" s="3866" t="s">
        <v>2542</v>
      </c>
      <c r="Q4" s="3867"/>
      <c r="R4" s="3872" t="s">
        <v>2538</v>
      </c>
      <c r="S4" s="3873"/>
      <c r="T4" s="3872" t="s">
        <v>2539</v>
      </c>
      <c r="U4" s="3873"/>
      <c r="V4" s="3878" t="s">
        <v>2540</v>
      </c>
      <c r="W4" s="3878"/>
      <c r="X4" s="2939"/>
      <c r="Y4" s="3872" t="s">
        <v>2542</v>
      </c>
      <c r="Z4" s="3873"/>
      <c r="AA4" s="3859" t="s">
        <v>2538</v>
      </c>
      <c r="AB4" s="3859" t="s">
        <v>2539</v>
      </c>
      <c r="AC4" s="3859" t="s">
        <v>2540</v>
      </c>
    </row>
    <row r="5" spans="1:29" ht="15">
      <c r="A5" s="404"/>
      <c r="B5" s="405"/>
      <c r="C5" s="3881" t="s">
        <v>2543</v>
      </c>
      <c r="D5" s="3882"/>
      <c r="E5" s="3888" t="s">
        <v>2544</v>
      </c>
      <c r="F5" s="3889"/>
      <c r="G5" s="3881" t="s">
        <v>2545</v>
      </c>
      <c r="H5" s="3882"/>
      <c r="I5" s="3881" t="s">
        <v>2546</v>
      </c>
      <c r="J5" s="3882"/>
      <c r="K5" s="2596"/>
      <c r="L5" s="1129"/>
      <c r="M5" s="1130"/>
      <c r="N5" s="1130"/>
      <c r="O5" s="1130"/>
      <c r="P5" s="3868"/>
      <c r="Q5" s="3869"/>
      <c r="R5" s="3874"/>
      <c r="S5" s="3875"/>
      <c r="T5" s="3874"/>
      <c r="U5" s="3875"/>
      <c r="V5" s="3878"/>
      <c r="W5" s="3878"/>
      <c r="X5" s="2939"/>
      <c r="Y5" s="3874"/>
      <c r="Z5" s="3875"/>
      <c r="AA5" s="3860"/>
      <c r="AB5" s="3860"/>
      <c r="AC5" s="3860"/>
    </row>
    <row r="6" spans="1:29" ht="15.75" thickBot="1">
      <c r="A6" s="406"/>
      <c r="B6" s="407"/>
      <c r="C6" s="3879" t="s">
        <v>2547</v>
      </c>
      <c r="D6" s="3880"/>
      <c r="E6" s="3886" t="s">
        <v>2547</v>
      </c>
      <c r="F6" s="3887"/>
      <c r="G6" s="3879" t="s">
        <v>2547</v>
      </c>
      <c r="H6" s="3880"/>
      <c r="I6" s="3879" t="s">
        <v>2547</v>
      </c>
      <c r="J6" s="3880"/>
      <c r="K6" s="2596" t="s">
        <v>2548</v>
      </c>
      <c r="L6" s="1129"/>
      <c r="M6" s="1130"/>
      <c r="N6" s="1130"/>
      <c r="O6" s="1130"/>
      <c r="P6" s="3870"/>
      <c r="Q6" s="3871"/>
      <c r="R6" s="3874"/>
      <c r="S6" s="3875"/>
      <c r="T6" s="3876"/>
      <c r="U6" s="3877"/>
      <c r="V6" s="3878"/>
      <c r="W6" s="3878"/>
      <c r="X6" s="2939"/>
      <c r="Y6" s="3876"/>
      <c r="Z6" s="3877"/>
      <c r="AA6" s="3861"/>
      <c r="AB6" s="3861"/>
      <c r="AC6" s="3861"/>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83" t="s">
        <v>2550</v>
      </c>
      <c r="Q7" s="3885"/>
      <c r="R7" s="770" t="s">
        <v>23</v>
      </c>
      <c r="S7" s="771">
        <f t="shared" ref="S7:S15" si="0">F7</f>
        <v>0</v>
      </c>
      <c r="T7" s="770" t="s">
        <v>23</v>
      </c>
      <c r="U7" s="771">
        <f t="shared" ref="U7:U15" si="1">H7</f>
        <v>0</v>
      </c>
      <c r="V7" s="770" t="s">
        <v>23</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883" t="s">
        <v>2553</v>
      </c>
      <c r="Q8" s="3884"/>
      <c r="R8" s="770" t="s">
        <v>23</v>
      </c>
      <c r="S8" s="771">
        <f t="shared" si="0"/>
        <v>0</v>
      </c>
      <c r="T8" s="770" t="s">
        <v>23</v>
      </c>
      <c r="U8" s="771">
        <f t="shared" si="1"/>
        <v>0</v>
      </c>
      <c r="V8" s="770" t="s">
        <v>23</v>
      </c>
      <c r="W8" s="771">
        <f t="shared" si="2"/>
        <v>0</v>
      </c>
      <c r="X8" s="772"/>
      <c r="Y8" s="3883" t="s">
        <v>2553</v>
      </c>
      <c r="Z8" s="388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58" t="s">
        <v>2556</v>
      </c>
      <c r="Q9" s="2925" t="str">
        <f t="shared" ref="Q9:Q15" si="6">B9</f>
        <v>用途</v>
      </c>
      <c r="R9" s="770" t="s">
        <v>17</v>
      </c>
      <c r="S9" s="771">
        <f t="shared" si="0"/>
        <v>100</v>
      </c>
      <c r="T9" s="770" t="s">
        <v>17</v>
      </c>
      <c r="U9" s="771">
        <f t="shared" si="1"/>
        <v>100</v>
      </c>
      <c r="V9" s="770" t="s">
        <v>17</v>
      </c>
      <c r="W9" s="771">
        <f t="shared" si="2"/>
        <v>100</v>
      </c>
      <c r="X9" s="772"/>
      <c r="Y9" s="3702" t="s">
        <v>2557</v>
      </c>
      <c r="Z9" s="2926" t="str">
        <f t="shared" ref="Z9:Z15" si="7">Q9</f>
        <v>用途</v>
      </c>
      <c r="AA9" s="773">
        <f t="shared" si="3"/>
        <v>1</v>
      </c>
      <c r="AB9" s="773">
        <f t="shared" si="4"/>
        <v>1</v>
      </c>
      <c r="AC9" s="773">
        <f t="shared" si="5"/>
        <v>1</v>
      </c>
    </row>
    <row r="10" spans="1:29" s="427" customFormat="1" ht="27">
      <c r="A10" s="421"/>
      <c r="B10" s="2931"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58"/>
      <c r="Q10" s="2925" t="str">
        <f t="shared" si="6"/>
        <v>土地使用年限（年）</v>
      </c>
      <c r="R10" s="770" t="s">
        <v>17</v>
      </c>
      <c r="S10" s="771">
        <f t="shared" si="0"/>
        <v>100</v>
      </c>
      <c r="T10" s="770" t="s">
        <v>17</v>
      </c>
      <c r="U10" s="771">
        <f t="shared" si="1"/>
        <v>100</v>
      </c>
      <c r="V10" s="770" t="s">
        <v>17</v>
      </c>
      <c r="W10" s="771">
        <f t="shared" si="2"/>
        <v>100</v>
      </c>
      <c r="X10" s="772"/>
      <c r="Y10" s="3702"/>
      <c r="Z10" s="2926" t="str">
        <f t="shared" si="7"/>
        <v>土地使用年限（年）</v>
      </c>
      <c r="AA10" s="773">
        <f t="shared" si="3"/>
        <v>1</v>
      </c>
      <c r="AB10" s="773">
        <f t="shared" si="4"/>
        <v>1</v>
      </c>
      <c r="AC10" s="773">
        <f t="shared" si="5"/>
        <v>1</v>
      </c>
    </row>
    <row r="11" spans="1:29" ht="15">
      <c r="A11" s="428"/>
      <c r="B11" s="2931"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858"/>
      <c r="Q11" s="2925" t="str">
        <f t="shared" si="6"/>
        <v>容积率</v>
      </c>
      <c r="R11" s="770" t="s">
        <v>21</v>
      </c>
      <c r="S11" s="771" t="e">
        <f t="shared" si="0"/>
        <v>#N/A</v>
      </c>
      <c r="T11" s="770" t="s">
        <v>21</v>
      </c>
      <c r="U11" s="771" t="e">
        <f t="shared" si="1"/>
        <v>#N/A</v>
      </c>
      <c r="V11" s="770" t="s">
        <v>21</v>
      </c>
      <c r="W11" s="771" t="e">
        <f t="shared" si="2"/>
        <v>#N/A</v>
      </c>
      <c r="X11" s="772"/>
      <c r="Y11" s="3702"/>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58"/>
      <c r="Q12" s="2925">
        <f t="shared" si="6"/>
        <v>111</v>
      </c>
      <c r="R12" s="770" t="s">
        <v>21</v>
      </c>
      <c r="S12" s="771">
        <f t="shared" si="0"/>
        <v>100</v>
      </c>
      <c r="T12" s="770" t="s">
        <v>21</v>
      </c>
      <c r="U12" s="771">
        <f t="shared" si="1"/>
        <v>100</v>
      </c>
      <c r="V12" s="770" t="s">
        <v>21</v>
      </c>
      <c r="W12" s="771">
        <f t="shared" si="2"/>
        <v>100</v>
      </c>
      <c r="X12" s="772"/>
      <c r="Y12" s="3702"/>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58"/>
      <c r="Q13" s="2925">
        <f t="shared" si="6"/>
        <v>111</v>
      </c>
      <c r="R13" s="770" t="s">
        <v>21</v>
      </c>
      <c r="S13" s="771">
        <f t="shared" si="0"/>
        <v>100</v>
      </c>
      <c r="T13" s="770" t="s">
        <v>21</v>
      </c>
      <c r="U13" s="771">
        <f t="shared" si="1"/>
        <v>100</v>
      </c>
      <c r="V13" s="770" t="s">
        <v>21</v>
      </c>
      <c r="W13" s="771">
        <f t="shared" si="2"/>
        <v>100</v>
      </c>
      <c r="X13" s="772"/>
      <c r="Y13" s="3702"/>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58"/>
      <c r="Q14" s="2925">
        <f t="shared" si="6"/>
        <v>111</v>
      </c>
      <c r="R14" s="770" t="s">
        <v>21</v>
      </c>
      <c r="S14" s="771">
        <f t="shared" si="0"/>
        <v>100</v>
      </c>
      <c r="T14" s="770" t="s">
        <v>21</v>
      </c>
      <c r="U14" s="771">
        <f t="shared" si="1"/>
        <v>100</v>
      </c>
      <c r="V14" s="770" t="s">
        <v>21</v>
      </c>
      <c r="W14" s="771">
        <f t="shared" si="2"/>
        <v>100</v>
      </c>
      <c r="X14" s="772"/>
      <c r="Y14" s="3702"/>
      <c r="Z14" s="2926">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6" t="s">
        <v>2561</v>
      </c>
      <c r="Q15" s="2937" t="str">
        <f t="shared" si="6"/>
        <v>居住社区成熟度</v>
      </c>
      <c r="R15" s="774" t="s">
        <v>21</v>
      </c>
      <c r="S15" s="775">
        <f t="shared" si="0"/>
        <v>100</v>
      </c>
      <c r="T15" s="774" t="s">
        <v>21</v>
      </c>
      <c r="U15" s="775">
        <f t="shared" si="1"/>
        <v>100</v>
      </c>
      <c r="V15" s="774" t="s">
        <v>21</v>
      </c>
      <c r="W15" s="775">
        <f t="shared" si="2"/>
        <v>100</v>
      </c>
      <c r="X15" s="2939"/>
      <c r="Y15" s="3849" t="s">
        <v>2561</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9"/>
      <c r="M16" s="1130"/>
      <c r="N16" s="1130"/>
      <c r="O16" s="1130"/>
      <c r="P16" s="3857"/>
      <c r="Q16" s="2937"/>
      <c r="R16" s="774"/>
      <c r="S16" s="775"/>
      <c r="T16" s="774"/>
      <c r="U16" s="775"/>
      <c r="V16" s="774"/>
      <c r="W16" s="775"/>
      <c r="X16" s="2939"/>
      <c r="Y16" s="3850"/>
      <c r="Z16" s="2940"/>
      <c r="AA16" s="2938">
        <v>1</v>
      </c>
      <c r="AB16" s="2938">
        <v>1</v>
      </c>
      <c r="AC16" s="2938">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7"/>
      <c r="Q17" s="2937" t="str">
        <f>B17</f>
        <v>交通便捷度</v>
      </c>
      <c r="R17" s="774" t="s">
        <v>21</v>
      </c>
      <c r="S17" s="775">
        <f>F17</f>
        <v>100</v>
      </c>
      <c r="T17" s="774" t="s">
        <v>21</v>
      </c>
      <c r="U17" s="775">
        <f>H17</f>
        <v>100</v>
      </c>
      <c r="V17" s="774" t="s">
        <v>21</v>
      </c>
      <c r="W17" s="775">
        <f>J17</f>
        <v>100</v>
      </c>
      <c r="X17" s="2939"/>
      <c r="Y17" s="3850"/>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9"/>
      <c r="M18" s="1130"/>
      <c r="N18" s="1130"/>
      <c r="O18" s="1130"/>
      <c r="P18" s="3857"/>
      <c r="Q18" s="2937"/>
      <c r="R18" s="774"/>
      <c r="S18" s="775"/>
      <c r="T18" s="774"/>
      <c r="U18" s="775"/>
      <c r="V18" s="774"/>
      <c r="W18" s="775"/>
      <c r="X18" s="2939"/>
      <c r="Y18" s="3850"/>
      <c r="Z18" s="2940"/>
      <c r="AA18" s="2938">
        <v>1</v>
      </c>
      <c r="AB18" s="2938">
        <v>1</v>
      </c>
      <c r="AC18" s="2938">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7"/>
      <c r="Q19" s="2937" t="str">
        <f>B19</f>
        <v>公共配套设施</v>
      </c>
      <c r="R19" s="774" t="s">
        <v>21</v>
      </c>
      <c r="S19" s="775">
        <f>F19</f>
        <v>100</v>
      </c>
      <c r="T19" s="774" t="s">
        <v>21</v>
      </c>
      <c r="U19" s="775">
        <f>H19</f>
        <v>100</v>
      </c>
      <c r="V19" s="774" t="s">
        <v>21</v>
      </c>
      <c r="W19" s="775">
        <f>J19</f>
        <v>100</v>
      </c>
      <c r="X19" s="2939"/>
      <c r="Y19" s="3850"/>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9"/>
      <c r="M20" s="1130"/>
      <c r="N20" s="1130"/>
      <c r="O20" s="1130"/>
      <c r="P20" s="3857"/>
      <c r="Q20" s="2937"/>
      <c r="R20" s="774"/>
      <c r="S20" s="775"/>
      <c r="T20" s="774"/>
      <c r="U20" s="775"/>
      <c r="V20" s="774"/>
      <c r="W20" s="775"/>
      <c r="X20" s="2939"/>
      <c r="Y20" s="3850"/>
      <c r="Z20" s="2940"/>
      <c r="AA20" s="2938">
        <v>1</v>
      </c>
      <c r="AB20" s="2938">
        <v>1</v>
      </c>
      <c r="AC20" s="2938">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7"/>
      <c r="Q21" s="2937" t="str">
        <f>B21</f>
        <v>基础设施水平</v>
      </c>
      <c r="R21" s="774" t="s">
        <v>17</v>
      </c>
      <c r="S21" s="775">
        <f>F21</f>
        <v>100</v>
      </c>
      <c r="T21" s="774" t="s">
        <v>17</v>
      </c>
      <c r="U21" s="775">
        <f>H21</f>
        <v>100</v>
      </c>
      <c r="V21" s="774" t="s">
        <v>17</v>
      </c>
      <c r="W21" s="775">
        <f>J21</f>
        <v>100</v>
      </c>
      <c r="X21" s="2939"/>
      <c r="Y21" s="3850"/>
      <c r="Z21" s="2940" t="str">
        <f>Q21</f>
        <v>基础设施水平</v>
      </c>
      <c r="AA21" s="2938">
        <f t="shared" ref="AA21" si="8">D21/F21</f>
        <v>1</v>
      </c>
      <c r="AB21" s="2938">
        <f t="shared" ref="AB21" si="9">D21/H21</f>
        <v>1</v>
      </c>
      <c r="AC21" s="2938">
        <f t="shared" ref="AC21" si="10">D21/J21</f>
        <v>1</v>
      </c>
    </row>
    <row r="22" spans="1:29" ht="15">
      <c r="A22" s="428"/>
      <c r="B22" s="1383"/>
      <c r="C22" s="2607"/>
      <c r="D22" s="448"/>
      <c r="E22" s="447"/>
      <c r="F22" s="448"/>
      <c r="G22" s="2610"/>
      <c r="H22" s="448"/>
      <c r="I22" s="447"/>
      <c r="J22" s="448"/>
      <c r="K22" s="2611"/>
      <c r="L22" s="1139"/>
      <c r="M22" s="1130"/>
      <c r="N22" s="1130"/>
      <c r="O22" s="1130"/>
      <c r="P22" s="3857"/>
      <c r="Q22" s="2937"/>
      <c r="R22" s="774"/>
      <c r="S22" s="775"/>
      <c r="T22" s="774"/>
      <c r="U22" s="775"/>
      <c r="V22" s="774"/>
      <c r="W22" s="775"/>
      <c r="X22" s="2939"/>
      <c r="Y22" s="3850"/>
      <c r="Z22" s="2940"/>
      <c r="AA22" s="2938">
        <v>1</v>
      </c>
      <c r="AB22" s="2938">
        <v>1</v>
      </c>
      <c r="AC22" s="2938">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7"/>
      <c r="Q23" s="2937" t="str">
        <f>B23</f>
        <v>自然及人文环境</v>
      </c>
      <c r="R23" s="774" t="s">
        <v>21</v>
      </c>
      <c r="S23" s="775">
        <f>F23</f>
        <v>100</v>
      </c>
      <c r="T23" s="774" t="s">
        <v>21</v>
      </c>
      <c r="U23" s="775">
        <f>H23</f>
        <v>100</v>
      </c>
      <c r="V23" s="774" t="s">
        <v>21</v>
      </c>
      <c r="W23" s="775">
        <f>J23</f>
        <v>100</v>
      </c>
      <c r="X23" s="2939"/>
      <c r="Y23" s="3850"/>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9"/>
      <c r="M24" s="1130"/>
      <c r="N24" s="1130"/>
      <c r="O24" s="1130"/>
      <c r="P24" s="3857"/>
      <c r="Q24" s="2937"/>
      <c r="R24" s="774"/>
      <c r="S24" s="775"/>
      <c r="T24" s="774"/>
      <c r="U24" s="775"/>
      <c r="V24" s="774"/>
      <c r="W24" s="775"/>
      <c r="X24" s="2939"/>
      <c r="Y24" s="3850"/>
      <c r="Z24" s="2940"/>
      <c r="AA24" s="2938">
        <v>1</v>
      </c>
      <c r="AB24" s="2938">
        <v>1</v>
      </c>
      <c r="AC24" s="2938">
        <v>1</v>
      </c>
    </row>
    <row r="25" spans="1:29" ht="15">
      <c r="A25" s="428"/>
      <c r="B25" s="2931"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7"/>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850"/>
      <c r="Z25" s="2940" t="str">
        <f>Q25</f>
        <v>楼层-1</v>
      </c>
      <c r="AA25" s="2938">
        <f t="shared" ref="AA25:AA46" si="15">D25/F25</f>
        <v>1</v>
      </c>
      <c r="AB25" s="2938">
        <f t="shared" ref="AB25:AB46" si="16">D25/H25</f>
        <v>1</v>
      </c>
      <c r="AC25" s="2938">
        <f t="shared" ref="AC25:AC46" si="17">D25/J25</f>
        <v>1</v>
      </c>
    </row>
    <row r="26" spans="1:29" ht="15">
      <c r="A26" s="428"/>
      <c r="B26" s="2931"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7"/>
      <c r="Q26" s="2937" t="str">
        <f t="shared" si="11"/>
        <v>朝向</v>
      </c>
      <c r="R26" s="774" t="s">
        <v>21</v>
      </c>
      <c r="S26" s="775">
        <f t="shared" si="12"/>
        <v>100</v>
      </c>
      <c r="T26" s="774" t="s">
        <v>21</v>
      </c>
      <c r="U26" s="775">
        <f t="shared" si="13"/>
        <v>100</v>
      </c>
      <c r="V26" s="774" t="s">
        <v>21</v>
      </c>
      <c r="W26" s="775">
        <f t="shared" si="14"/>
        <v>100</v>
      </c>
      <c r="X26" s="2939"/>
      <c r="Y26" s="3850"/>
      <c r="Z26" s="2940" t="str">
        <f>Q26</f>
        <v>朝向</v>
      </c>
      <c r="AA26" s="2938">
        <f t="shared" si="15"/>
        <v>1</v>
      </c>
      <c r="AB26" s="2938">
        <f t="shared" si="16"/>
        <v>1</v>
      </c>
      <c r="AC26" s="2938">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7"/>
      <c r="Q27" s="2925">
        <f t="shared" si="11"/>
        <v>111</v>
      </c>
      <c r="R27" s="770" t="s">
        <v>21</v>
      </c>
      <c r="S27" s="771">
        <f t="shared" si="12"/>
        <v>100</v>
      </c>
      <c r="T27" s="770" t="s">
        <v>21</v>
      </c>
      <c r="U27" s="771">
        <f t="shared" si="13"/>
        <v>100</v>
      </c>
      <c r="V27" s="770" t="s">
        <v>21</v>
      </c>
      <c r="W27" s="771">
        <f t="shared" si="14"/>
        <v>100</v>
      </c>
      <c r="X27" s="772"/>
      <c r="Y27" s="3850"/>
      <c r="Z27" s="2926">
        <f>Q27</f>
        <v>111</v>
      </c>
      <c r="AA27" s="2938">
        <f t="shared" si="15"/>
        <v>1</v>
      </c>
      <c r="AB27" s="2938">
        <f t="shared" si="16"/>
        <v>1</v>
      </c>
      <c r="AC27" s="2938">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7"/>
      <c r="Q28" s="2937">
        <f t="shared" si="11"/>
        <v>111</v>
      </c>
      <c r="R28" s="774" t="s">
        <v>21</v>
      </c>
      <c r="S28" s="775">
        <f t="shared" si="12"/>
        <v>100</v>
      </c>
      <c r="T28" s="774" t="s">
        <v>21</v>
      </c>
      <c r="U28" s="775">
        <f t="shared" si="13"/>
        <v>100</v>
      </c>
      <c r="V28" s="774" t="s">
        <v>21</v>
      </c>
      <c r="W28" s="775">
        <f t="shared" si="14"/>
        <v>100</v>
      </c>
      <c r="X28" s="2939"/>
      <c r="Y28" s="3850"/>
      <c r="Z28" s="2940">
        <f t="shared" ref="Z28:Z46" si="18">Q28</f>
        <v>111</v>
      </c>
      <c r="AA28" s="2938">
        <f t="shared" si="15"/>
        <v>1</v>
      </c>
      <c r="AB28" s="2938">
        <f t="shared" si="16"/>
        <v>1</v>
      </c>
      <c r="AC28" s="2938">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7"/>
      <c r="Q29" s="2937">
        <f t="shared" si="11"/>
        <v>111</v>
      </c>
      <c r="R29" s="774" t="s">
        <v>21</v>
      </c>
      <c r="S29" s="775">
        <f t="shared" si="12"/>
        <v>100</v>
      </c>
      <c r="T29" s="774" t="s">
        <v>21</v>
      </c>
      <c r="U29" s="775">
        <f t="shared" si="13"/>
        <v>100</v>
      </c>
      <c r="V29" s="774" t="s">
        <v>21</v>
      </c>
      <c r="W29" s="775">
        <f t="shared" si="14"/>
        <v>100</v>
      </c>
      <c r="X29" s="2939"/>
      <c r="Y29" s="3850"/>
      <c r="Z29" s="2940">
        <f t="shared" si="18"/>
        <v>111</v>
      </c>
      <c r="AA29" s="2938">
        <f t="shared" si="15"/>
        <v>1</v>
      </c>
      <c r="AB29" s="2938">
        <f t="shared" si="16"/>
        <v>1</v>
      </c>
      <c r="AC29" s="2938">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7"/>
      <c r="Q30" s="2937">
        <f t="shared" si="11"/>
        <v>111</v>
      </c>
      <c r="R30" s="774" t="s">
        <v>21</v>
      </c>
      <c r="S30" s="775">
        <f t="shared" si="12"/>
        <v>100</v>
      </c>
      <c r="T30" s="774" t="s">
        <v>21</v>
      </c>
      <c r="U30" s="775">
        <f t="shared" si="13"/>
        <v>100</v>
      </c>
      <c r="V30" s="774" t="s">
        <v>21</v>
      </c>
      <c r="W30" s="775">
        <f t="shared" si="14"/>
        <v>100</v>
      </c>
      <c r="X30" s="2939"/>
      <c r="Y30" s="3850"/>
      <c r="Z30" s="2940">
        <f t="shared" si="18"/>
        <v>111</v>
      </c>
      <c r="AA30" s="2938">
        <f t="shared" si="15"/>
        <v>1</v>
      </c>
      <c r="AB30" s="2938">
        <f t="shared" si="16"/>
        <v>1</v>
      </c>
      <c r="AC30" s="2938">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7"/>
      <c r="Q31" s="2937">
        <f t="shared" si="11"/>
        <v>111</v>
      </c>
      <c r="R31" s="774" t="s">
        <v>21</v>
      </c>
      <c r="S31" s="775">
        <f t="shared" si="12"/>
        <v>100</v>
      </c>
      <c r="T31" s="774" t="s">
        <v>21</v>
      </c>
      <c r="U31" s="775">
        <f t="shared" si="13"/>
        <v>100</v>
      </c>
      <c r="V31" s="774" t="s">
        <v>21</v>
      </c>
      <c r="W31" s="775">
        <f t="shared" si="14"/>
        <v>100</v>
      </c>
      <c r="X31" s="2939"/>
      <c r="Y31" s="3850"/>
      <c r="Z31" s="2940">
        <f t="shared" si="18"/>
        <v>111</v>
      </c>
      <c r="AA31" s="2938">
        <f t="shared" si="15"/>
        <v>1</v>
      </c>
      <c r="AB31" s="2938">
        <f t="shared" si="16"/>
        <v>1</v>
      </c>
      <c r="AC31" s="2938">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51" t="s">
        <v>2566</v>
      </c>
      <c r="Q32" s="2937" t="str">
        <f t="shared" si="11"/>
        <v>建筑类型</v>
      </c>
      <c r="R32" s="774" t="s">
        <v>21</v>
      </c>
      <c r="S32" s="775">
        <f t="shared" si="12"/>
        <v>100</v>
      </c>
      <c r="T32" s="774" t="s">
        <v>21</v>
      </c>
      <c r="U32" s="775">
        <f t="shared" si="13"/>
        <v>100</v>
      </c>
      <c r="V32" s="774" t="s">
        <v>21</v>
      </c>
      <c r="W32" s="775">
        <f t="shared" si="14"/>
        <v>100</v>
      </c>
      <c r="X32" s="2939"/>
      <c r="Y32" s="3854" t="s">
        <v>2566</v>
      </c>
      <c r="Z32" s="2940" t="str">
        <f t="shared" si="18"/>
        <v>建筑类型</v>
      </c>
      <c r="AA32" s="2938">
        <f t="shared" si="15"/>
        <v>1</v>
      </c>
      <c r="AB32" s="2938">
        <f t="shared" si="16"/>
        <v>1</v>
      </c>
      <c r="AC32" s="2938">
        <f t="shared" si="17"/>
        <v>1</v>
      </c>
    </row>
    <row r="33" spans="1:29" s="471" customFormat="1" ht="15">
      <c r="A33" s="468"/>
      <c r="B33" s="2931"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852"/>
      <c r="Q33" s="776" t="str">
        <f t="shared" si="11"/>
        <v>项目建筑规模</v>
      </c>
      <c r="R33" s="777" t="s">
        <v>21</v>
      </c>
      <c r="S33" s="778" t="e">
        <f t="shared" si="12"/>
        <v>#N/A</v>
      </c>
      <c r="T33" s="777" t="s">
        <v>21</v>
      </c>
      <c r="U33" s="778" t="e">
        <f t="shared" si="13"/>
        <v>#N/A</v>
      </c>
      <c r="V33" s="777" t="s">
        <v>21</v>
      </c>
      <c r="W33" s="778" t="e">
        <f t="shared" si="14"/>
        <v>#N/A</v>
      </c>
      <c r="X33" s="779"/>
      <c r="Y33" s="3854"/>
      <c r="Z33" s="780" t="str">
        <f t="shared" si="18"/>
        <v>项目建筑规模</v>
      </c>
      <c r="AA33" s="2938" t="e">
        <f t="shared" si="15"/>
        <v>#N/A</v>
      </c>
      <c r="AB33" s="2938" t="e">
        <f t="shared" si="16"/>
        <v>#N/A</v>
      </c>
      <c r="AC33" s="2938" t="e">
        <f t="shared" si="17"/>
        <v>#N/A</v>
      </c>
    </row>
    <row r="34" spans="1:29" ht="15">
      <c r="A34" s="472"/>
      <c r="B34" s="2931"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52"/>
      <c r="Q34" s="2937" t="str">
        <f t="shared" si="11"/>
        <v>建筑结构</v>
      </c>
      <c r="R34" s="774" t="s">
        <v>21</v>
      </c>
      <c r="S34" s="775">
        <f t="shared" si="12"/>
        <v>100</v>
      </c>
      <c r="T34" s="774" t="s">
        <v>21</v>
      </c>
      <c r="U34" s="775">
        <f t="shared" si="13"/>
        <v>100</v>
      </c>
      <c r="V34" s="774" t="s">
        <v>21</v>
      </c>
      <c r="W34" s="775">
        <f t="shared" si="14"/>
        <v>100</v>
      </c>
      <c r="X34" s="2939"/>
      <c r="Y34" s="3854"/>
      <c r="Z34" s="2940" t="str">
        <f t="shared" si="18"/>
        <v>建筑结构</v>
      </c>
      <c r="AA34" s="2938">
        <f t="shared" si="15"/>
        <v>1</v>
      </c>
      <c r="AB34" s="2938">
        <f t="shared" si="16"/>
        <v>1</v>
      </c>
      <c r="AC34" s="2938">
        <f t="shared" si="17"/>
        <v>1</v>
      </c>
    </row>
    <row r="35" spans="1:29" ht="15">
      <c r="A35" s="472"/>
      <c r="B35" s="2931"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52"/>
      <c r="Q35" s="2937" t="str">
        <f t="shared" si="11"/>
        <v>建筑品质</v>
      </c>
      <c r="R35" s="774" t="s">
        <v>21</v>
      </c>
      <c r="S35" s="775">
        <f t="shared" si="12"/>
        <v>100</v>
      </c>
      <c r="T35" s="774" t="s">
        <v>21</v>
      </c>
      <c r="U35" s="775">
        <f t="shared" si="13"/>
        <v>100</v>
      </c>
      <c r="V35" s="774" t="s">
        <v>21</v>
      </c>
      <c r="W35" s="775">
        <f t="shared" si="14"/>
        <v>100</v>
      </c>
      <c r="X35" s="2939"/>
      <c r="Y35" s="3854"/>
      <c r="Z35" s="2940" t="str">
        <f t="shared" si="18"/>
        <v>建筑品质</v>
      </c>
      <c r="AA35" s="2938">
        <f t="shared" si="15"/>
        <v>1</v>
      </c>
      <c r="AB35" s="2938">
        <f t="shared" si="16"/>
        <v>1</v>
      </c>
      <c r="AC35" s="2938">
        <f t="shared" si="17"/>
        <v>1</v>
      </c>
    </row>
    <row r="36" spans="1:29" ht="15">
      <c r="A36" s="472"/>
      <c r="B36" s="2931"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52"/>
      <c r="Q36" s="2937" t="str">
        <f t="shared" si="11"/>
        <v>公共部分装修</v>
      </c>
      <c r="R36" s="774" t="s">
        <v>21</v>
      </c>
      <c r="S36" s="775">
        <f t="shared" si="12"/>
        <v>100</v>
      </c>
      <c r="T36" s="774" t="s">
        <v>21</v>
      </c>
      <c r="U36" s="775">
        <f t="shared" si="13"/>
        <v>100</v>
      </c>
      <c r="V36" s="774" t="s">
        <v>21</v>
      </c>
      <c r="W36" s="775">
        <f t="shared" si="14"/>
        <v>100</v>
      </c>
      <c r="X36" s="2939"/>
      <c r="Y36" s="3854"/>
      <c r="Z36" s="2940" t="str">
        <f t="shared" si="18"/>
        <v>公共部分装修</v>
      </c>
      <c r="AA36" s="2938">
        <f t="shared" si="15"/>
        <v>1</v>
      </c>
      <c r="AB36" s="2938">
        <f t="shared" si="16"/>
        <v>1</v>
      </c>
      <c r="AC36" s="2938">
        <f t="shared" si="17"/>
        <v>1</v>
      </c>
    </row>
    <row r="37" spans="1:29" s="117" customFormat="1" ht="15">
      <c r="A37" s="473"/>
      <c r="B37" s="2931"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52"/>
      <c r="Q37" s="2925" t="str">
        <f t="shared" si="11"/>
        <v>成新度</v>
      </c>
      <c r="R37" s="770" t="s">
        <v>21</v>
      </c>
      <c r="S37" s="771" t="e">
        <f t="shared" si="12"/>
        <v>#N/A</v>
      </c>
      <c r="T37" s="770" t="s">
        <v>21</v>
      </c>
      <c r="U37" s="771" t="e">
        <f t="shared" si="13"/>
        <v>#N/A</v>
      </c>
      <c r="V37" s="770" t="s">
        <v>21</v>
      </c>
      <c r="W37" s="771" t="e">
        <f t="shared" si="14"/>
        <v>#N/A</v>
      </c>
      <c r="X37" s="772"/>
      <c r="Y37" s="3854"/>
      <c r="Z37" s="2926" t="str">
        <f t="shared" si="18"/>
        <v>成新度</v>
      </c>
      <c r="AA37" s="773" t="e">
        <f t="shared" si="15"/>
        <v>#N/A</v>
      </c>
      <c r="AB37" s="773" t="e">
        <f t="shared" si="16"/>
        <v>#N/A</v>
      </c>
      <c r="AC37" s="773" t="e">
        <f t="shared" si="17"/>
        <v>#N/A</v>
      </c>
    </row>
    <row r="38" spans="1:29" ht="15">
      <c r="A38" s="472"/>
      <c r="B38" s="2931"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52" t="s">
        <v>2566</v>
      </c>
      <c r="Q38" s="2937" t="str">
        <f t="shared" si="11"/>
        <v>物业管理</v>
      </c>
      <c r="R38" s="774" t="s">
        <v>21</v>
      </c>
      <c r="S38" s="775">
        <f t="shared" si="12"/>
        <v>100</v>
      </c>
      <c r="T38" s="774" t="s">
        <v>21</v>
      </c>
      <c r="U38" s="775">
        <f t="shared" si="13"/>
        <v>100</v>
      </c>
      <c r="V38" s="774" t="s">
        <v>21</v>
      </c>
      <c r="W38" s="775">
        <f t="shared" si="14"/>
        <v>100</v>
      </c>
      <c r="X38" s="2939"/>
      <c r="Y38" s="3854" t="s">
        <v>2566</v>
      </c>
      <c r="Z38" s="2940" t="str">
        <f t="shared" si="18"/>
        <v>物业管理</v>
      </c>
      <c r="AA38" s="2938">
        <f t="shared" si="15"/>
        <v>1</v>
      </c>
      <c r="AB38" s="2938">
        <f t="shared" si="16"/>
        <v>1</v>
      </c>
      <c r="AC38" s="2938">
        <f t="shared" si="17"/>
        <v>1</v>
      </c>
    </row>
    <row r="39" spans="1:29" ht="15">
      <c r="A39" s="472"/>
      <c r="B39" s="2931"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52"/>
      <c r="Q39" s="2937" t="str">
        <f t="shared" si="11"/>
        <v>市政基础设施</v>
      </c>
      <c r="R39" s="774" t="s">
        <v>21</v>
      </c>
      <c r="S39" s="775">
        <f t="shared" si="12"/>
        <v>100</v>
      </c>
      <c r="T39" s="774" t="s">
        <v>21</v>
      </c>
      <c r="U39" s="775">
        <f t="shared" si="13"/>
        <v>100</v>
      </c>
      <c r="V39" s="774" t="s">
        <v>21</v>
      </c>
      <c r="W39" s="775">
        <f t="shared" si="14"/>
        <v>100</v>
      </c>
      <c r="X39" s="2939"/>
      <c r="Y39" s="3854"/>
      <c r="Z39" s="2940" t="str">
        <f t="shared" si="18"/>
        <v>市政基础设施</v>
      </c>
      <c r="AA39" s="2938">
        <f t="shared" si="15"/>
        <v>1</v>
      </c>
      <c r="AB39" s="2938">
        <f t="shared" si="16"/>
        <v>1</v>
      </c>
      <c r="AC39" s="2938">
        <f t="shared" si="17"/>
        <v>1</v>
      </c>
    </row>
    <row r="40" spans="1:29" ht="15">
      <c r="A40" s="472"/>
      <c r="B40" s="2931"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52"/>
      <c r="Q40" s="2937" t="str">
        <f t="shared" si="11"/>
        <v>房型</v>
      </c>
      <c r="R40" s="774" t="s">
        <v>21</v>
      </c>
      <c r="S40" s="775">
        <f t="shared" si="12"/>
        <v>100</v>
      </c>
      <c r="T40" s="774" t="s">
        <v>21</v>
      </c>
      <c r="U40" s="775">
        <f t="shared" si="13"/>
        <v>100</v>
      </c>
      <c r="V40" s="774" t="s">
        <v>21</v>
      </c>
      <c r="W40" s="775">
        <f t="shared" si="14"/>
        <v>100</v>
      </c>
      <c r="X40" s="2939"/>
      <c r="Y40" s="3854"/>
      <c r="Z40" s="2940" t="str">
        <f t="shared" si="18"/>
        <v>房型</v>
      </c>
      <c r="AA40" s="2938">
        <f t="shared" si="15"/>
        <v>1</v>
      </c>
      <c r="AB40" s="2938">
        <f t="shared" si="16"/>
        <v>1</v>
      </c>
      <c r="AC40" s="2938">
        <f t="shared" si="17"/>
        <v>1</v>
      </c>
    </row>
    <row r="41" spans="1:29" s="471" customFormat="1" ht="28.5">
      <c r="A41" s="468"/>
      <c r="B41" s="2931"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52"/>
      <c r="Q41" s="776" t="str">
        <f t="shared" si="11"/>
        <v>单套/主力户型建筑面积</v>
      </c>
      <c r="R41" s="777" t="s">
        <v>21</v>
      </c>
      <c r="S41" s="778">
        <f t="shared" si="12"/>
        <v>100</v>
      </c>
      <c r="T41" s="777" t="s">
        <v>21</v>
      </c>
      <c r="U41" s="778">
        <f t="shared" si="13"/>
        <v>100</v>
      </c>
      <c r="V41" s="777" t="s">
        <v>21</v>
      </c>
      <c r="W41" s="778">
        <f t="shared" si="14"/>
        <v>100</v>
      </c>
      <c r="X41" s="779"/>
      <c r="Y41" s="3854"/>
      <c r="Z41" s="780" t="str">
        <f t="shared" si="18"/>
        <v>单套/主力户型建筑面积</v>
      </c>
      <c r="AA41" s="2938">
        <f t="shared" si="15"/>
        <v>1</v>
      </c>
      <c r="AB41" s="2938">
        <f t="shared" si="16"/>
        <v>1</v>
      </c>
      <c r="AC41" s="2938">
        <f t="shared" si="17"/>
        <v>1</v>
      </c>
    </row>
    <row r="42" spans="1:29" ht="15">
      <c r="A42" s="472"/>
      <c r="B42" s="2931"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52"/>
      <c r="Q42" s="2937" t="str">
        <f t="shared" si="11"/>
        <v>内部装修</v>
      </c>
      <c r="R42" s="774" t="s">
        <v>21</v>
      </c>
      <c r="S42" s="775">
        <f t="shared" si="12"/>
        <v>100</v>
      </c>
      <c r="T42" s="774" t="s">
        <v>21</v>
      </c>
      <c r="U42" s="775">
        <f t="shared" si="13"/>
        <v>100</v>
      </c>
      <c r="V42" s="774" t="s">
        <v>21</v>
      </c>
      <c r="W42" s="775">
        <f t="shared" si="14"/>
        <v>100</v>
      </c>
      <c r="X42" s="2939"/>
      <c r="Y42" s="3854"/>
      <c r="Z42" s="2940" t="str">
        <f t="shared" si="18"/>
        <v>内部装修</v>
      </c>
      <c r="AA42" s="2938">
        <f t="shared" si="15"/>
        <v>1</v>
      </c>
      <c r="AB42" s="2938">
        <f t="shared" si="16"/>
        <v>1</v>
      </c>
      <c r="AC42" s="2938">
        <f t="shared" si="17"/>
        <v>1</v>
      </c>
    </row>
    <row r="43" spans="1:29" ht="15">
      <c r="A43" s="472"/>
      <c r="B43" s="2931"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52"/>
      <c r="Q43" s="2937" t="str">
        <f t="shared" si="11"/>
        <v>内部装修维护情况</v>
      </c>
      <c r="R43" s="774" t="s">
        <v>21</v>
      </c>
      <c r="S43" s="775">
        <f t="shared" si="12"/>
        <v>100</v>
      </c>
      <c r="T43" s="774" t="s">
        <v>21</v>
      </c>
      <c r="U43" s="775">
        <f t="shared" si="13"/>
        <v>100</v>
      </c>
      <c r="V43" s="774" t="s">
        <v>21</v>
      </c>
      <c r="W43" s="775">
        <f t="shared" si="14"/>
        <v>100</v>
      </c>
      <c r="X43" s="2939"/>
      <c r="Y43" s="3854"/>
      <c r="Z43" s="2940" t="str">
        <f t="shared" si="18"/>
        <v>内部装修维护情况</v>
      </c>
      <c r="AA43" s="2938">
        <f t="shared" si="15"/>
        <v>1</v>
      </c>
      <c r="AB43" s="2938">
        <f t="shared" si="16"/>
        <v>1</v>
      </c>
      <c r="AC43" s="2938">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52"/>
      <c r="Q44" s="2925">
        <f t="shared" si="11"/>
        <v>111</v>
      </c>
      <c r="R44" s="770" t="s">
        <v>21</v>
      </c>
      <c r="S44" s="771">
        <f t="shared" si="12"/>
        <v>100</v>
      </c>
      <c r="T44" s="770" t="s">
        <v>21</v>
      </c>
      <c r="U44" s="771">
        <f t="shared" si="13"/>
        <v>100</v>
      </c>
      <c r="V44" s="770" t="s">
        <v>21</v>
      </c>
      <c r="W44" s="771">
        <f t="shared" si="14"/>
        <v>100</v>
      </c>
      <c r="X44" s="772"/>
      <c r="Y44" s="3854"/>
      <c r="Z44" s="2926">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52"/>
      <c r="Q45" s="2937">
        <f t="shared" si="11"/>
        <v>111</v>
      </c>
      <c r="R45" s="774" t="s">
        <v>21</v>
      </c>
      <c r="S45" s="775">
        <f t="shared" si="12"/>
        <v>100</v>
      </c>
      <c r="T45" s="774" t="s">
        <v>21</v>
      </c>
      <c r="U45" s="775">
        <f t="shared" si="13"/>
        <v>100</v>
      </c>
      <c r="V45" s="774" t="s">
        <v>21</v>
      </c>
      <c r="W45" s="775">
        <f t="shared" si="14"/>
        <v>100</v>
      </c>
      <c r="X45" s="2939"/>
      <c r="Y45" s="3854"/>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53"/>
      <c r="Q46" s="2937">
        <f t="shared" si="11"/>
        <v>111</v>
      </c>
      <c r="R46" s="774" t="s">
        <v>20</v>
      </c>
      <c r="S46" s="775">
        <f t="shared" si="12"/>
        <v>100</v>
      </c>
      <c r="T46" s="774" t="s">
        <v>20</v>
      </c>
      <c r="U46" s="775">
        <f t="shared" si="13"/>
        <v>100</v>
      </c>
      <c r="V46" s="774" t="s">
        <v>20</v>
      </c>
      <c r="W46" s="775">
        <f t="shared" si="14"/>
        <v>100</v>
      </c>
      <c r="X46" s="2939"/>
      <c r="Y46" s="3855"/>
      <c r="Z46" s="2940">
        <f t="shared" si="18"/>
        <v>111</v>
      </c>
      <c r="AA46" s="2938">
        <f t="shared" si="15"/>
        <v>1</v>
      </c>
      <c r="AB46" s="2938">
        <f t="shared" si="16"/>
        <v>1</v>
      </c>
      <c r="AC46" s="2938">
        <f t="shared" si="17"/>
        <v>1</v>
      </c>
    </row>
    <row r="47" spans="1:29" ht="15">
      <c r="A47" s="479" t="s">
        <v>2578</v>
      </c>
      <c r="B47" s="480"/>
      <c r="C47" s="1406" t="s">
        <v>19</v>
      </c>
      <c r="D47" s="1407"/>
      <c r="E47" s="1408"/>
      <c r="F47" s="1409"/>
      <c r="G47" s="1410"/>
      <c r="H47" s="1411"/>
      <c r="I47" s="1408"/>
      <c r="J47" s="1411"/>
      <c r="K47" s="2620"/>
      <c r="L47" s="1142"/>
      <c r="M47" s="1143"/>
      <c r="N47" s="1130"/>
      <c r="O47" s="1143"/>
      <c r="P47" s="3847" t="str">
        <f>A47</f>
        <v>成交单价（元/平方米）</v>
      </c>
      <c r="Q47" s="3847"/>
      <c r="R47" s="3848">
        <f>E47</f>
        <v>0</v>
      </c>
      <c r="S47" s="3848"/>
      <c r="T47" s="3848">
        <f>G47</f>
        <v>0</v>
      </c>
      <c r="U47" s="3848"/>
      <c r="V47" s="3848">
        <f>I47</f>
        <v>0</v>
      </c>
      <c r="W47" s="3848"/>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7" t="str">
        <f>A48</f>
        <v>比较价值（元/平方米）</v>
      </c>
      <c r="Q48" s="3847"/>
      <c r="R48" s="3848" t="e">
        <f>IF(F1="售价",ROUND(PRODUCT(R47,AA7:AA46),0),ROUND(PRODUCT(R47,AA7:AA46),1))</f>
        <v>#DIV/0!</v>
      </c>
      <c r="S48" s="3848"/>
      <c r="T48" s="3848" t="e">
        <f>IF(F1="售价",ROUND(PRODUCT(T47,AB7:AB46),0),ROUND(PRODUCT(T47,AB7:AB46),1))</f>
        <v>#DIV/0!</v>
      </c>
      <c r="U48" s="3848"/>
      <c r="V48" s="3848" t="e">
        <f>IF(F1="售价",ROUND(PRODUCT(V47,AC7:AC46),0),ROUND(PRODUCT(V47,AC7:AC46),1))</f>
        <v>#DIV/0!</v>
      </c>
      <c r="W48" s="3848"/>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44" t="str">
        <f>A49</f>
        <v>估价对象XX用房的比较价值（楼面单价，元/平方米）</v>
      </c>
      <c r="Q49" s="3845"/>
      <c r="R49" s="3846" t="e">
        <f>IF(F1="售价",ROUND(AVERAGE(R48:V48),0),ROUND(AVERAGE(R48:V48),1))</f>
        <v>#DIV/0!</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0</v>
      </c>
      <c r="D6" s="164" t="s">
        <v>3034</v>
      </c>
      <c r="E6" s="347" t="s">
        <v>1406</v>
      </c>
      <c r="F6" s="348">
        <f ca="1">INDIRECT("'数据-取费表'!u"&amp;$G$1)</f>
        <v>0</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36"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3"/>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883" t="s">
        <v>2550</v>
      </c>
      <c r="Q7" s="3885"/>
      <c r="R7" s="770" t="s">
        <v>17</v>
      </c>
      <c r="S7" s="771">
        <f t="shared" ref="S7:S14" si="0">F7</f>
        <v>0</v>
      </c>
      <c r="T7" s="770" t="s">
        <v>17</v>
      </c>
      <c r="U7" s="771">
        <f t="shared" ref="U7:U14" si="1">H7</f>
        <v>0</v>
      </c>
      <c r="V7" s="770" t="s">
        <v>17</v>
      </c>
      <c r="W7" s="771">
        <f t="shared" ref="W7:W14" si="2">J7</f>
        <v>0</v>
      </c>
      <c r="X7" s="772"/>
      <c r="Y7" s="3883" t="s">
        <v>2550</v>
      </c>
      <c r="Z7" s="388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847" t="s">
        <v>2556</v>
      </c>
      <c r="Q9" s="1795" t="str">
        <f t="shared" ref="Q9:Q14" si="6">B9</f>
        <v>用途</v>
      </c>
      <c r="R9" s="770" t="s">
        <v>17</v>
      </c>
      <c r="S9" s="771">
        <f t="shared" si="0"/>
        <v>100</v>
      </c>
      <c r="T9" s="770" t="s">
        <v>17</v>
      </c>
      <c r="U9" s="771">
        <f t="shared" si="1"/>
        <v>100</v>
      </c>
      <c r="V9" s="770" t="s">
        <v>17</v>
      </c>
      <c r="W9" s="771">
        <f t="shared" si="2"/>
        <v>100</v>
      </c>
      <c r="X9" s="772"/>
      <c r="Y9" s="370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847"/>
      <c r="Q11" s="1795">
        <f t="shared" si="6"/>
        <v>111</v>
      </c>
      <c r="R11" s="770" t="s">
        <v>17</v>
      </c>
      <c r="S11" s="771">
        <f t="shared" si="0"/>
        <v>100</v>
      </c>
      <c r="T11" s="770" t="s">
        <v>17</v>
      </c>
      <c r="U11" s="771">
        <f t="shared" si="1"/>
        <v>100</v>
      </c>
      <c r="V11" s="770" t="s">
        <v>17</v>
      </c>
      <c r="W11" s="771">
        <f t="shared" si="2"/>
        <v>100</v>
      </c>
      <c r="X11" s="772"/>
      <c r="Y11" s="37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71.25">
      <c r="A14" s="401" t="s">
        <v>2560</v>
      </c>
      <c r="B14" s="629" t="s">
        <v>2710</v>
      </c>
      <c r="C14" s="2692" t="str">
        <f>IF(B1="工业",估价对象房地状况!G4,估价对象房地状况!C6)</f>
        <v>周边道路状况好、公共交通通达情况好、停车便捷，综合评价交通便捷度好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849" t="s">
        <v>2561</v>
      </c>
      <c r="Q14" s="1810" t="str">
        <f t="shared" si="6"/>
        <v>交通便捷度</v>
      </c>
      <c r="R14" s="774" t="s">
        <v>17</v>
      </c>
      <c r="S14" s="775">
        <f t="shared" si="0"/>
        <v>100</v>
      </c>
      <c r="T14" s="774" t="s">
        <v>17</v>
      </c>
      <c r="U14" s="775">
        <f t="shared" si="1"/>
        <v>100</v>
      </c>
      <c r="V14" s="774" t="s">
        <v>17</v>
      </c>
      <c r="W14" s="775">
        <f t="shared" si="2"/>
        <v>100</v>
      </c>
      <c r="X14" s="1813"/>
      <c r="Y14" s="3849"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850"/>
      <c r="Q15" s="1810"/>
      <c r="R15" s="774"/>
      <c r="S15" s="775"/>
      <c r="T15" s="774"/>
      <c r="U15" s="775"/>
      <c r="V15" s="774"/>
      <c r="W15" s="775"/>
      <c r="X15" s="1813"/>
      <c r="Y15" s="3850"/>
      <c r="Z15" s="1814"/>
      <c r="AA15" s="1811">
        <v>1</v>
      </c>
      <c r="AB15" s="1811">
        <v>1</v>
      </c>
      <c r="AC15" s="1811">
        <v>1</v>
      </c>
    </row>
    <row r="16" spans="1:29" ht="42.75">
      <c r="A16" s="404"/>
      <c r="B16" s="631" t="s">
        <v>2689</v>
      </c>
      <c r="C16" s="2606"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850"/>
      <c r="Q16" s="1810" t="str">
        <f>B16</f>
        <v>公共配套设施</v>
      </c>
      <c r="R16" s="774" t="s">
        <v>17</v>
      </c>
      <c r="S16" s="775">
        <f>F16</f>
        <v>100</v>
      </c>
      <c r="T16" s="774" t="s">
        <v>17</v>
      </c>
      <c r="U16" s="775">
        <f>H16</f>
        <v>100</v>
      </c>
      <c r="V16" s="774" t="s">
        <v>17</v>
      </c>
      <c r="W16" s="775">
        <f>J16</f>
        <v>100</v>
      </c>
      <c r="X16" s="1813"/>
      <c r="Y16" s="3850"/>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39"/>
      <c r="M17" s="1130"/>
      <c r="N17" s="1130"/>
      <c r="O17" s="1130"/>
      <c r="P17" s="3850"/>
      <c r="Q17" s="1810"/>
      <c r="R17" s="774"/>
      <c r="S17" s="775"/>
      <c r="T17" s="774"/>
      <c r="U17" s="775"/>
      <c r="V17" s="774"/>
      <c r="W17" s="775"/>
      <c r="X17" s="1813"/>
      <c r="Y17" s="3850"/>
      <c r="Z17" s="1814"/>
      <c r="AA17" s="1811">
        <v>1</v>
      </c>
      <c r="AB17" s="1811">
        <v>1</v>
      </c>
      <c r="AC17" s="1811">
        <v>1</v>
      </c>
    </row>
    <row r="18" spans="1:29" ht="42.75">
      <c r="A18" s="404"/>
      <c r="B18" s="633" t="s">
        <v>2690</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850"/>
      <c r="Q18" s="1810" t="str">
        <f>B18</f>
        <v>基础设施水平</v>
      </c>
      <c r="R18" s="774" t="s">
        <v>17</v>
      </c>
      <c r="S18" s="775">
        <f>F18</f>
        <v>100</v>
      </c>
      <c r="T18" s="774" t="s">
        <v>17</v>
      </c>
      <c r="U18" s="775">
        <f>H18</f>
        <v>100</v>
      </c>
      <c r="V18" s="774" t="s">
        <v>17</v>
      </c>
      <c r="W18" s="775">
        <f>J18</f>
        <v>100</v>
      </c>
      <c r="X18" s="1813"/>
      <c r="Y18" s="3850"/>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2"/>
      <c r="L19" s="1139"/>
      <c r="M19" s="1130"/>
      <c r="N19" s="1130"/>
      <c r="O19" s="1130"/>
      <c r="P19" s="3850"/>
      <c r="Q19" s="1810"/>
      <c r="R19" s="774"/>
      <c r="S19" s="775"/>
      <c r="T19" s="774"/>
      <c r="U19" s="775"/>
      <c r="V19" s="774"/>
      <c r="W19" s="775"/>
      <c r="X19" s="1813"/>
      <c r="Y19" s="3850"/>
      <c r="Z19" s="1814"/>
      <c r="AA19" s="1811">
        <v>1</v>
      </c>
      <c r="AB19" s="1811">
        <v>1</v>
      </c>
      <c r="AC19" s="1811">
        <v>1</v>
      </c>
    </row>
    <row r="20" spans="1:29" ht="57">
      <c r="A20" s="404"/>
      <c r="B20" s="631" t="s">
        <v>2711</v>
      </c>
      <c r="C20" s="2606" t="str">
        <f>IF(B1="工业",估价对象房地状况!G7,估价对象房地状况!C9)</f>
        <v>区域自然环境好；人文环境好；综合评价环境状况好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850"/>
      <c r="Q20" s="1810" t="str">
        <f>B20</f>
        <v>自然及人文环境</v>
      </c>
      <c r="R20" s="774" t="s">
        <v>17</v>
      </c>
      <c r="S20" s="775">
        <f>F20</f>
        <v>100</v>
      </c>
      <c r="T20" s="774" t="s">
        <v>17</v>
      </c>
      <c r="U20" s="775">
        <f>H20</f>
        <v>100</v>
      </c>
      <c r="V20" s="774" t="s">
        <v>17</v>
      </c>
      <c r="W20" s="775">
        <f>J20</f>
        <v>100</v>
      </c>
      <c r="X20" s="1813"/>
      <c r="Y20" s="385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850"/>
      <c r="Q21" s="1810"/>
      <c r="R21" s="774"/>
      <c r="S21" s="775"/>
      <c r="T21" s="774"/>
      <c r="U21" s="775"/>
      <c r="V21" s="774"/>
      <c r="W21" s="775"/>
      <c r="X21" s="1813"/>
      <c r="Y21" s="3850"/>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850"/>
      <c r="Q22" s="1810" t="str">
        <f>B22</f>
        <v>楼层</v>
      </c>
      <c r="R22" s="774" t="s">
        <v>17</v>
      </c>
      <c r="S22" s="775">
        <f>F22</f>
        <v>100</v>
      </c>
      <c r="T22" s="774" t="s">
        <v>17</v>
      </c>
      <c r="U22" s="775">
        <f>H22</f>
        <v>100</v>
      </c>
      <c r="V22" s="774" t="s">
        <v>17</v>
      </c>
      <c r="W22" s="775">
        <f>J22</f>
        <v>100</v>
      </c>
      <c r="X22" s="1813"/>
      <c r="Y22" s="385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850"/>
      <c r="Q23" s="1810">
        <f>B23</f>
        <v>111</v>
      </c>
      <c r="R23" s="774" t="s">
        <v>17</v>
      </c>
      <c r="S23" s="775">
        <f>F23</f>
        <v>100</v>
      </c>
      <c r="T23" s="774" t="s">
        <v>17</v>
      </c>
      <c r="U23" s="775">
        <f>H23</f>
        <v>100</v>
      </c>
      <c r="V23" s="774" t="s">
        <v>17</v>
      </c>
      <c r="W23" s="775">
        <f>J23</f>
        <v>100</v>
      </c>
      <c r="X23" s="1813"/>
      <c r="Y23" s="385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850"/>
      <c r="Q24" s="1810">
        <f t="shared" ref="Q24:Q36" si="11">B24</f>
        <v>111</v>
      </c>
      <c r="R24" s="774" t="s">
        <v>17</v>
      </c>
      <c r="S24" s="775">
        <f>F24</f>
        <v>100</v>
      </c>
      <c r="T24" s="774" t="s">
        <v>17</v>
      </c>
      <c r="U24" s="775">
        <f>H24</f>
        <v>100</v>
      </c>
      <c r="V24" s="774" t="s">
        <v>17</v>
      </c>
      <c r="W24" s="775">
        <f>J24</f>
        <v>100</v>
      </c>
      <c r="X24" s="1813"/>
      <c r="Y24" s="385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850"/>
      <c r="Q25" s="1795">
        <f t="shared" si="11"/>
        <v>111</v>
      </c>
      <c r="R25" s="770" t="s">
        <v>17</v>
      </c>
      <c r="S25" s="771">
        <f>F25</f>
        <v>100</v>
      </c>
      <c r="T25" s="770" t="s">
        <v>17</v>
      </c>
      <c r="U25" s="771">
        <f>H25</f>
        <v>100</v>
      </c>
      <c r="V25" s="770" t="s">
        <v>17</v>
      </c>
      <c r="W25" s="771">
        <f>J25</f>
        <v>100</v>
      </c>
      <c r="X25" s="772"/>
      <c r="Y25" s="3850"/>
      <c r="Z25" s="55">
        <f>Q25</f>
        <v>111</v>
      </c>
      <c r="AA25" s="1811">
        <f>D25/F25</f>
        <v>1</v>
      </c>
      <c r="AB25" s="1811">
        <f>D25/H25</f>
        <v>1</v>
      </c>
      <c r="AC25" s="1811">
        <f>D25/J25</f>
        <v>1</v>
      </c>
    </row>
    <row r="26" spans="1:29" ht="15">
      <c r="A26" s="652" t="s">
        <v>2564</v>
      </c>
      <c r="B26" s="70"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4029"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854"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854"/>
      <c r="Q27" s="776" t="str">
        <f t="shared" si="11"/>
        <v>项目停车位配比</v>
      </c>
      <c r="R27" s="777" t="s">
        <v>17</v>
      </c>
      <c r="S27" s="778">
        <f t="shared" si="12"/>
        <v>100</v>
      </c>
      <c r="T27" s="777" t="s">
        <v>17</v>
      </c>
      <c r="U27" s="778">
        <f t="shared" si="13"/>
        <v>100</v>
      </c>
      <c r="V27" s="777" t="s">
        <v>17</v>
      </c>
      <c r="W27" s="778">
        <f t="shared" si="14"/>
        <v>100</v>
      </c>
      <c r="X27" s="779"/>
      <c r="Y27" s="3854"/>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854"/>
      <c r="Q28" s="1810" t="str">
        <f t="shared" si="11"/>
        <v>公共部分装修</v>
      </c>
      <c r="R28" s="774" t="s">
        <v>17</v>
      </c>
      <c r="S28" s="775">
        <f t="shared" si="12"/>
        <v>100</v>
      </c>
      <c r="T28" s="774" t="s">
        <v>17</v>
      </c>
      <c r="U28" s="775">
        <f t="shared" si="13"/>
        <v>100</v>
      </c>
      <c r="V28" s="774" t="s">
        <v>17</v>
      </c>
      <c r="W28" s="775">
        <f t="shared" si="14"/>
        <v>100</v>
      </c>
      <c r="X28" s="1813"/>
      <c r="Y28" s="3854"/>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854"/>
      <c r="Q29" s="1810" t="str">
        <f t="shared" si="11"/>
        <v>成新率</v>
      </c>
      <c r="R29" s="774" t="s">
        <v>17</v>
      </c>
      <c r="S29" s="775" t="e">
        <f t="shared" si="12"/>
        <v>#N/A</v>
      </c>
      <c r="T29" s="774" t="s">
        <v>17</v>
      </c>
      <c r="U29" s="775" t="e">
        <f t="shared" si="13"/>
        <v>#N/A</v>
      </c>
      <c r="V29" s="774" t="s">
        <v>17</v>
      </c>
      <c r="W29" s="775" t="e">
        <f t="shared" si="14"/>
        <v>#N/A</v>
      </c>
      <c r="X29" s="1813"/>
      <c r="Y29" s="3854"/>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854"/>
      <c r="Q30" s="1810" t="str">
        <f t="shared" si="11"/>
        <v>物业等级</v>
      </c>
      <c r="R30" s="774" t="s">
        <v>17</v>
      </c>
      <c r="S30" s="775">
        <f t="shared" si="12"/>
        <v>100</v>
      </c>
      <c r="T30" s="774" t="s">
        <v>17</v>
      </c>
      <c r="U30" s="775">
        <f t="shared" si="13"/>
        <v>100</v>
      </c>
      <c r="V30" s="774" t="s">
        <v>17</v>
      </c>
      <c r="W30" s="775">
        <f t="shared" si="14"/>
        <v>100</v>
      </c>
      <c r="X30" s="1813"/>
      <c r="Y30" s="3854"/>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854"/>
      <c r="Q31" s="1795" t="str">
        <f t="shared" si="11"/>
        <v>停车位面积</v>
      </c>
      <c r="R31" s="770" t="s">
        <v>17</v>
      </c>
      <c r="S31" s="771" t="e">
        <f t="shared" si="12"/>
        <v>#N/A</v>
      </c>
      <c r="T31" s="770" t="s">
        <v>17</v>
      </c>
      <c r="U31" s="771" t="e">
        <f t="shared" si="13"/>
        <v>#N/A</v>
      </c>
      <c r="V31" s="770" t="s">
        <v>17</v>
      </c>
      <c r="W31" s="771" t="e">
        <f t="shared" si="14"/>
        <v>#N/A</v>
      </c>
      <c r="X31" s="772"/>
      <c r="Y31" s="385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854" t="s">
        <v>2566</v>
      </c>
      <c r="Q32" s="1810" t="str">
        <f t="shared" si="11"/>
        <v>车位类型</v>
      </c>
      <c r="R32" s="774" t="s">
        <v>17</v>
      </c>
      <c r="S32" s="775">
        <f t="shared" si="12"/>
        <v>100</v>
      </c>
      <c r="T32" s="774" t="s">
        <v>17</v>
      </c>
      <c r="U32" s="775">
        <f t="shared" si="13"/>
        <v>100</v>
      </c>
      <c r="V32" s="774" t="s">
        <v>17</v>
      </c>
      <c r="W32" s="775">
        <f t="shared" si="14"/>
        <v>100</v>
      </c>
      <c r="X32" s="1813"/>
      <c r="Y32" s="3854"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854"/>
      <c r="Q33" s="1810" t="str">
        <f t="shared" si="11"/>
        <v>是否直接入户</v>
      </c>
      <c r="R33" s="774" t="s">
        <v>17</v>
      </c>
      <c r="S33" s="775">
        <f t="shared" si="12"/>
        <v>100</v>
      </c>
      <c r="T33" s="774" t="s">
        <v>17</v>
      </c>
      <c r="U33" s="775">
        <f t="shared" si="13"/>
        <v>100</v>
      </c>
      <c r="V33" s="774" t="s">
        <v>17</v>
      </c>
      <c r="W33" s="775">
        <f t="shared" si="14"/>
        <v>100</v>
      </c>
      <c r="X33" s="1813"/>
      <c r="Y33" s="385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854"/>
      <c r="Q34" s="1810">
        <f t="shared" si="11"/>
        <v>111</v>
      </c>
      <c r="R34" s="774" t="s">
        <v>17</v>
      </c>
      <c r="S34" s="775">
        <f t="shared" si="12"/>
        <v>100</v>
      </c>
      <c r="T34" s="774" t="s">
        <v>17</v>
      </c>
      <c r="U34" s="775">
        <f t="shared" si="13"/>
        <v>100</v>
      </c>
      <c r="V34" s="774" t="s">
        <v>17</v>
      </c>
      <c r="W34" s="775">
        <f t="shared" si="14"/>
        <v>100</v>
      </c>
      <c r="X34" s="1813"/>
      <c r="Y34" s="385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854"/>
      <c r="Q35" s="776">
        <f t="shared" si="11"/>
        <v>111</v>
      </c>
      <c r="R35" s="777" t="s">
        <v>17</v>
      </c>
      <c r="S35" s="778">
        <f t="shared" si="12"/>
        <v>100</v>
      </c>
      <c r="T35" s="777" t="s">
        <v>17</v>
      </c>
      <c r="U35" s="778">
        <f t="shared" si="13"/>
        <v>100</v>
      </c>
      <c r="V35" s="777" t="s">
        <v>17</v>
      </c>
      <c r="W35" s="778">
        <f t="shared" si="14"/>
        <v>100</v>
      </c>
      <c r="X35" s="779"/>
      <c r="Y35" s="385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854"/>
      <c r="Q36" s="1810">
        <f t="shared" si="11"/>
        <v>111</v>
      </c>
      <c r="R36" s="774" t="s">
        <v>17</v>
      </c>
      <c r="S36" s="775">
        <f t="shared" si="12"/>
        <v>100</v>
      </c>
      <c r="T36" s="774" t="s">
        <v>17</v>
      </c>
      <c r="U36" s="775">
        <f t="shared" si="13"/>
        <v>100</v>
      </c>
      <c r="V36" s="774" t="s">
        <v>17</v>
      </c>
      <c r="W36" s="775">
        <f t="shared" si="14"/>
        <v>100</v>
      </c>
      <c r="X36" s="1813"/>
      <c r="Y36" s="3854"/>
      <c r="Z36" s="1814">
        <f t="shared" si="15"/>
        <v>111</v>
      </c>
      <c r="AA36" s="1811">
        <f t="shared" si="3"/>
        <v>1</v>
      </c>
      <c r="AB36" s="1811">
        <f t="shared" si="4"/>
        <v>1</v>
      </c>
      <c r="AC36" s="1811">
        <f t="shared" si="5"/>
        <v>1</v>
      </c>
    </row>
    <row r="37" spans="1:29" ht="15">
      <c r="A37" s="479" t="s">
        <v>2721</v>
      </c>
      <c r="B37" s="2694" t="s">
        <v>2722</v>
      </c>
      <c r="C37" s="1406" t="s">
        <v>1</v>
      </c>
      <c r="D37" s="1407"/>
      <c r="E37" s="1408">
        <v>7000</v>
      </c>
      <c r="F37" s="1409"/>
      <c r="G37" s="1410">
        <v>7000</v>
      </c>
      <c r="H37" s="1411"/>
      <c r="I37" s="1408">
        <v>7000</v>
      </c>
      <c r="J37" s="1411"/>
      <c r="K37" s="619"/>
      <c r="L37" s="1142"/>
      <c r="M37" s="1143"/>
      <c r="N37" s="1130"/>
      <c r="O37" s="1143"/>
      <c r="P37" s="3847" t="str">
        <f>A37</f>
        <v>成交单价</v>
      </c>
      <c r="Q37" s="3847"/>
      <c r="R37" s="3848">
        <f>E37</f>
        <v>7000</v>
      </c>
      <c r="S37" s="3848"/>
      <c r="T37" s="3848">
        <f>G37</f>
        <v>7000</v>
      </c>
      <c r="U37" s="3848"/>
      <c r="V37" s="3848">
        <f>I37</f>
        <v>7000</v>
      </c>
      <c r="W37" s="3848"/>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847" t="str">
        <f>A38</f>
        <v>比较价值（元/平方米）</v>
      </c>
      <c r="Q38" s="3847"/>
      <c r="R38" s="3848" t="e">
        <f>IF(F1="售价",ROUND(PRODUCT(R37,AA7:AA36),0),ROUND(PRODUCT(R37,AA7:AA36),1))</f>
        <v>#DIV/0!</v>
      </c>
      <c r="S38" s="3848"/>
      <c r="T38" s="3848" t="e">
        <f>IF(F1="售价",ROUND(PRODUCT(T37,AB7:AB36),0),ROUND(PRODUCT(T37,AB7:AB36),1))</f>
        <v>#DIV/0!</v>
      </c>
      <c r="U38" s="3848"/>
      <c r="V38" s="3848" t="e">
        <f>IF(F1="售价",ROUND(PRODUCT(V37,AC7:AC36),0),ROUND(PRODUCT(V37,AC7:AC36),1))</f>
        <v>#DIV/0!</v>
      </c>
      <c r="W38" s="3848"/>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844" t="str">
        <f>A39</f>
        <v>估价对象XX用房的比较价值（楼面单价，元/平方米）</v>
      </c>
      <c r="Q39" s="3845"/>
      <c r="R39" s="3846" t="e">
        <f>IF(F1="售价",ROUND(AVERAGE(R38:V38),0),ROUND(AVERAGE(R38:V38),1))</f>
        <v>#DIV/0!</v>
      </c>
      <c r="S39" s="3846"/>
      <c r="T39" s="3846"/>
      <c r="U39" s="3846"/>
      <c r="V39" s="3846"/>
      <c r="W39" s="384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0</v>
      </c>
      <c r="D6" s="164" t="s">
        <v>3034</v>
      </c>
      <c r="E6" s="347" t="s">
        <v>1406</v>
      </c>
      <c r="F6" s="348">
        <f ca="1">INDIRECT("'数据-取费表'!u"&amp;$G$1)</f>
        <v>0</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36"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spans="1:5" ht="18">
      <c r="A3" s="3664" t="str">
        <f>IF(项目基本情况!B9="房地产市场价值","估价结果一览表（市场价值不需“结果表-1”）","估价结果一览表")</f>
        <v>估价结果一览表</v>
      </c>
      <c r="B3" s="3664"/>
      <c r="C3" s="3664"/>
      <c r="D3" s="3664"/>
      <c r="E3" s="3664"/>
    </row>
    <row r="4" spans="1:5" ht="19.5" thickBot="1">
      <c r="A4" s="1961"/>
      <c r="B4" s="3662" t="s">
        <v>1632</v>
      </c>
      <c r="C4" s="3662"/>
      <c r="D4" s="3662"/>
      <c r="E4" s="1961"/>
    </row>
    <row r="5" spans="1:5" ht="16.5" thickTop="1">
      <c r="A5" s="1959"/>
      <c r="B5" s="3660" t="s">
        <v>1624</v>
      </c>
      <c r="C5" s="1962" t="s">
        <v>1625</v>
      </c>
      <c r="D5" s="1039">
        <f ca="1">结果表!H101</f>
        <v>217994</v>
      </c>
      <c r="E5" s="1959"/>
    </row>
    <row r="6" spans="1:5" ht="15.75">
      <c r="A6" s="1959"/>
      <c r="B6" s="3660"/>
      <c r="C6" s="1962" t="s">
        <v>1626</v>
      </c>
      <c r="D6" s="1039" t="str">
        <f ca="1">NUMBERSTRING(INT(D5*10000),2)&amp;"元整"</f>
        <v>贰拾壹亿柒仟玖佰玖拾肆万元整</v>
      </c>
      <c r="E6" s="1959"/>
    </row>
    <row r="7" spans="1:5" ht="15.75">
      <c r="A7" s="1959"/>
      <c r="B7" s="3665"/>
      <c r="C7" s="1963" t="s">
        <v>1627</v>
      </c>
      <c r="D7" s="1040">
        <f ca="1">结果表!H102</f>
        <v>27301</v>
      </c>
      <c r="E7" s="1959"/>
    </row>
    <row r="8" spans="1:5" ht="15.75">
      <c r="A8" s="1959"/>
      <c r="B8" s="3666" t="str">
        <f>结果表!E103</f>
        <v>2.估价师知悉的法定优先受偿款</v>
      </c>
      <c r="C8" s="1964" t="s">
        <v>1628</v>
      </c>
      <c r="D8" s="1040">
        <f>结果表!H103</f>
        <v>0</v>
      </c>
      <c r="E8" s="1959"/>
    </row>
    <row r="9" spans="1:5" ht="15.75">
      <c r="A9" s="1959"/>
      <c r="B9" s="3668"/>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3659" t="str">
        <f>结果表!E107</f>
        <v>3.房地产抵押价值</v>
      </c>
      <c r="C13" s="1967" t="s">
        <v>1625</v>
      </c>
      <c r="D13" s="1042">
        <f ca="1">结果表!H107</f>
        <v>217994</v>
      </c>
      <c r="E13" s="1959"/>
    </row>
    <row r="14" spans="1:5" ht="15.75">
      <c r="A14" s="1959"/>
      <c r="B14" s="3660"/>
      <c r="C14" s="1962" t="s">
        <v>1626</v>
      </c>
      <c r="D14" s="1039" t="str">
        <f ca="1">NUMBERSTRING(INT(D13*10000),2)&amp;"元整"</f>
        <v>贰拾壹亿柒仟玖佰玖拾肆万元整</v>
      </c>
      <c r="E14" s="1959"/>
    </row>
    <row r="15" spans="1:5" ht="15">
      <c r="A15" s="1959"/>
      <c r="B15" s="3665"/>
      <c r="C15" s="1963" t="s">
        <v>1636</v>
      </c>
      <c r="D15" s="1051">
        <f ca="1">结果表!H108</f>
        <v>27301</v>
      </c>
      <c r="E15" s="1959"/>
    </row>
    <row r="16" spans="1:5" ht="15">
      <c r="A16" s="1959"/>
      <c r="B16" s="3666" t="str">
        <f>结果表!E109</f>
        <v>——</v>
      </c>
      <c r="C16" s="1967" t="s">
        <v>1637</v>
      </c>
      <c r="D16" s="1968" t="str">
        <f>结果表!H109</f>
        <v>——</v>
      </c>
      <c r="E16" s="1959"/>
    </row>
    <row r="17" spans="1:5" ht="15.75">
      <c r="A17" s="1959"/>
      <c r="B17" s="3667"/>
      <c r="C17" s="1962" t="s">
        <v>1638</v>
      </c>
      <c r="D17" s="1039" t="e">
        <f>NUMBERSTRING(INT(D16*10000),2)&amp;"元整"</f>
        <v>#VALUE!</v>
      </c>
      <c r="E17" s="1959"/>
    </row>
    <row r="18" spans="1:5" ht="15">
      <c r="A18" s="1959"/>
      <c r="B18" s="3668"/>
      <c r="C18" s="1963" t="s">
        <v>1627</v>
      </c>
      <c r="D18" s="1051" t="str">
        <f>结果表!H110</f>
        <v>——</v>
      </c>
      <c r="E18" s="1959"/>
    </row>
    <row r="19" spans="1:5" ht="15.75">
      <c r="A19" s="1959"/>
      <c r="B19" s="3659" t="str">
        <f>结果表!E111</f>
        <v>——</v>
      </c>
      <c r="C19" s="1967" t="s">
        <v>1625</v>
      </c>
      <c r="D19" s="1040" t="str">
        <f>结果表!H111</f>
        <v>——</v>
      </c>
      <c r="E19" s="1959"/>
    </row>
    <row r="20" spans="1:5" ht="15.75">
      <c r="A20" s="1959"/>
      <c r="B20" s="3660"/>
      <c r="C20" s="1962" t="s">
        <v>1638</v>
      </c>
      <c r="D20" s="1039" t="e">
        <f>NUMBERSTRING(INT(D19*10000),2)&amp;"元整"</f>
        <v>#VALUE!</v>
      </c>
      <c r="E20" s="1959"/>
    </row>
    <row r="21" spans="1:5" ht="15.75" thickBot="1">
      <c r="A21" s="1959"/>
      <c r="B21" s="3661"/>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7" sqref="F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3660</v>
      </c>
      <c r="D1" s="1820" t="s">
        <v>70</v>
      </c>
      <c r="E1" s="1821" t="s">
        <v>1388</v>
      </c>
      <c r="F1" s="1282">
        <f ca="1">J53</f>
        <v>41.47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1208</v>
      </c>
      <c r="C2" s="1845" t="s">
        <v>1518</v>
      </c>
      <c r="D2" s="1845"/>
      <c r="E2" s="1846"/>
      <c r="F2" s="1847"/>
      <c r="G2" s="1848"/>
      <c r="H2" s="1840"/>
      <c r="I2" s="1840"/>
      <c r="J2" s="1840"/>
      <c r="K2" s="1841"/>
      <c r="L2" s="1840"/>
      <c r="M2" s="1840"/>
    </row>
    <row r="3" spans="1:37" ht="18" customHeight="1" thickBot="1">
      <c r="A3" s="1849" t="s">
        <v>1519</v>
      </c>
      <c r="B3" s="1850">
        <f ca="1">IF(ISERROR(B2*10000/F43),0,ROUND(B2*10000/F43,0))</f>
        <v>5153</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92</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92</v>
      </c>
      <c r="D6" s="164" t="s">
        <v>3034</v>
      </c>
      <c r="E6" s="347" t="s">
        <v>1406</v>
      </c>
      <c r="F6" s="348">
        <f ca="1">INDIRECT("'数据-取费表'!u"&amp;$G$1)</f>
        <v>1.2</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1297" t="s">
        <v>1407</v>
      </c>
      <c r="F7" s="348">
        <f ca="1">IF(INDIRECT("'数据-取费表'!ah"&amp;$G$1)="",INDIRECT("'数据-取费表'!k"&amp;$G$1),INDIRECT("'数据-取费表'!ah"&amp;$G$1))</f>
        <v>2344.4799999999996</v>
      </c>
      <c r="G7" s="1851"/>
      <c r="H7" s="349"/>
      <c r="I7" s="3891"/>
      <c r="J7" s="351"/>
      <c r="K7" s="352"/>
      <c r="L7" s="347" t="s">
        <v>1407</v>
      </c>
      <c r="M7" s="348">
        <f ca="1">F7</f>
        <v>2344.4799999999996</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951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651</v>
      </c>
      <c r="D14" s="1800" t="s">
        <v>1420</v>
      </c>
      <c r="E14" s="1794"/>
      <c r="F14" s="364"/>
      <c r="G14" s="1851"/>
      <c r="H14" s="1200" t="s">
        <v>1035</v>
      </c>
      <c r="I14" s="347" t="s">
        <v>1421</v>
      </c>
      <c r="J14" s="24">
        <f ca="1">C29</f>
        <v>951</v>
      </c>
      <c r="K14" s="15"/>
      <c r="L14" s="978"/>
      <c r="M14" s="979"/>
    </row>
    <row r="15" spans="1:37" s="1858" customFormat="1" ht="18" customHeight="1" thickBot="1">
      <c r="A15" s="1200" t="s">
        <v>1036</v>
      </c>
      <c r="B15" s="347" t="s">
        <v>1422</v>
      </c>
      <c r="C15" s="24">
        <f ca="1">ROUND(C14*F15,0)</f>
        <v>20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27</v>
      </c>
      <c r="K16" s="1336" t="s">
        <v>1427</v>
      </c>
      <c r="L16" s="1337"/>
      <c r="M16" s="1293"/>
    </row>
    <row r="17" spans="1:37" s="1858" customFormat="1" ht="18" customHeight="1">
      <c r="A17" s="1200" t="s">
        <v>1391</v>
      </c>
      <c r="B17" s="347" t="s">
        <v>1428</v>
      </c>
      <c r="C17" s="24">
        <f ca="1">ROUND(F17*(F43+INDIRECT("'数据-取费表'!S"&amp;$G$1))/10000,0)</f>
        <v>53</v>
      </c>
      <c r="D17" s="347" t="s">
        <v>1429</v>
      </c>
      <c r="E17" s="347" t="s">
        <v>1430</v>
      </c>
      <c r="F17" s="26">
        <f>'数据-取费表'!B35</f>
        <v>200</v>
      </c>
      <c r="G17" s="1854"/>
      <c r="H17" s="1200" t="s">
        <v>1035</v>
      </c>
      <c r="I17" s="347" t="s">
        <v>1431</v>
      </c>
      <c r="J17" s="24">
        <f ca="1">ROUND(IF(项目基本情况!B11="自然人",J5*M17,J18+J19+J20),1)</f>
        <v>8.1</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10</v>
      </c>
      <c r="D18" s="347" t="s">
        <v>1423</v>
      </c>
      <c r="E18" s="347" t="s">
        <v>1424</v>
      </c>
      <c r="F18" s="367">
        <f>'数据-取费表'!B36</f>
        <v>1.4999999999999999E-2</v>
      </c>
      <c r="G18" s="1854"/>
      <c r="H18" s="1200" t="s">
        <v>1034</v>
      </c>
      <c r="I18" s="347" t="s">
        <v>1435</v>
      </c>
      <c r="J18" s="24">
        <f ca="1">ROUND(J5*M18/(1+'数据-取费表'!C42),2)</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734</v>
      </c>
      <c r="D19" s="140" t="s">
        <v>1438</v>
      </c>
      <c r="E19" s="1818"/>
      <c r="F19" s="26"/>
      <c r="G19" s="1851"/>
      <c r="H19" s="1200" t="s">
        <v>1036</v>
      </c>
      <c r="I19" s="347" t="s">
        <v>1439</v>
      </c>
      <c r="J19" s="24">
        <f ca="1">IF(K19="按租金收入计税",ROUND(J5*M19,2),ROUND(C29*M19*0.7,2))</f>
        <v>7.99</v>
      </c>
      <c r="K19" s="1828" t="s">
        <v>1440</v>
      </c>
      <c r="L19" s="347" t="s">
        <v>1424</v>
      </c>
      <c r="M19" s="367">
        <f>IF(K19="按租金收入计税",'数据-取费表'!B51,'数据-取费表'!B50)</f>
        <v>1.2E-2</v>
      </c>
    </row>
    <row r="20" spans="1:37" s="1858" customFormat="1" ht="18" customHeight="1">
      <c r="A20" s="1200" t="s">
        <v>1039</v>
      </c>
      <c r="B20" s="347" t="s">
        <v>1441</v>
      </c>
      <c r="C20" s="24">
        <f ca="1">ROUND(C19*F20,0)</f>
        <v>22</v>
      </c>
      <c r="D20" s="369" t="s">
        <v>1442</v>
      </c>
      <c r="E20" s="347" t="s">
        <v>1424</v>
      </c>
      <c r="F20" s="367">
        <f>'数据-取费表'!B37</f>
        <v>0.03</v>
      </c>
      <c r="G20" s="1854"/>
      <c r="H20" s="1200" t="s">
        <v>1390</v>
      </c>
      <c r="I20" s="164" t="s">
        <v>1443</v>
      </c>
      <c r="J20" s="25">
        <f ca="1">ROUND(M20*M21/10000,2)</f>
        <v>0.08</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504.26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ROUND(J14*M22,1)</f>
        <v>19</v>
      </c>
      <c r="K22" s="179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36</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f ca="1">J5-J16</f>
        <v>-27</v>
      </c>
      <c r="K25" s="1344" t="s">
        <v>1466</v>
      </c>
      <c r="L25" s="1345"/>
      <c r="M25" s="1346"/>
    </row>
    <row r="26" spans="1:37">
      <c r="A26" s="1200" t="s">
        <v>1034</v>
      </c>
      <c r="B26" s="347" t="s">
        <v>1467</v>
      </c>
      <c r="C26" s="24">
        <f ca="1">ROUND((C19+C20)*F26,0)</f>
        <v>76</v>
      </c>
      <c r="D26" s="369" t="s">
        <v>1468</v>
      </c>
      <c r="E26" s="358" t="s">
        <v>1469</v>
      </c>
      <c r="F26" s="357">
        <f ca="1">INDIRECT("'数据-取费表'!q"&amp;$G$1)</f>
        <v>0.1</v>
      </c>
      <c r="G26" s="1851"/>
      <c r="H26" s="344" t="s">
        <v>1032</v>
      </c>
      <c r="I26" s="345" t="s">
        <v>1470</v>
      </c>
      <c r="J26" s="346">
        <f ca="1">IF(J5&lt;&gt;0,ROUND(J25*(1-((1+M28)/(1+M26))^M27)/(M26-M28),0),0)</f>
        <v>0</v>
      </c>
      <c r="K26" s="370" t="s">
        <v>1471</v>
      </c>
      <c r="L26" s="347" t="s">
        <v>1472</v>
      </c>
      <c r="M26" s="357">
        <f ca="1">INDIRECT("'数据-取费表'!I"&amp;$G$1)</f>
        <v>0.05</v>
      </c>
    </row>
    <row r="27" spans="1:37" ht="18" customHeight="1">
      <c r="A27" s="1200" t="s">
        <v>1036</v>
      </c>
      <c r="B27" s="347" t="s">
        <v>1473</v>
      </c>
      <c r="C27" s="24">
        <f ca="1">ROUND(F21*F26,4)</f>
        <v>3.0000000000000001E-3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951</v>
      </c>
      <c r="D29" s="1341"/>
      <c r="E29" s="1339"/>
      <c r="F29" s="1342"/>
      <c r="G29" s="1854"/>
      <c r="H29" s="380" t="s">
        <v>1033</v>
      </c>
      <c r="I29" s="381" t="s">
        <v>1481</v>
      </c>
      <c r="J29" s="382">
        <f ca="1">ROUND(J26/(1+F40)^F41,0)</f>
        <v>0</v>
      </c>
      <c r="K29" s="383" t="s">
        <v>1482</v>
      </c>
      <c r="L29" s="384"/>
      <c r="M29" s="385">
        <f ca="1">INDIRECT("'数据-取费表'!k"&amp;$G$1)</f>
        <v>2344.4799999999996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36</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ROUND(IF(项目基本情况!B11="自然人",C5*F31,C32+C33+C34),1)</f>
        <v>12.9</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4.82</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7.99</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0.08</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504.26</v>
      </c>
      <c r="G35" s="1851"/>
      <c r="H35" s="745"/>
      <c r="I35" s="1860"/>
      <c r="J35" s="1861"/>
      <c r="K35" s="1862"/>
      <c r="L35" s="1859"/>
      <c r="M35" s="1859"/>
    </row>
    <row r="36" spans="1:18" ht="18" customHeight="1">
      <c r="A36" s="1351" t="s">
        <v>1039</v>
      </c>
      <c r="B36" s="347" t="s">
        <v>1451</v>
      </c>
      <c r="C36" s="24">
        <f ca="1">ROUND(C29*F36,1)</f>
        <v>19</v>
      </c>
      <c r="D36" s="179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1.9</v>
      </c>
      <c r="D37" s="179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1.8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56</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1208</v>
      </c>
      <c r="D40" s="370" t="s">
        <v>1471</v>
      </c>
      <c r="E40" s="347" t="s">
        <v>1472</v>
      </c>
      <c r="F40" s="357">
        <f ca="1">INDIRECT("'数据-取费表'!I"&amp;$G$1)</f>
        <v>0.05</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1.4999999999999999E-2</v>
      </c>
      <c r="G42" s="1851"/>
      <c r="H42" s="732"/>
      <c r="I42" s="1860"/>
      <c r="J42" s="1861"/>
      <c r="K42" s="751"/>
      <c r="L42" s="732"/>
      <c r="M42" s="732"/>
    </row>
    <row r="43" spans="1:18" ht="18" customHeight="1" thickBot="1">
      <c r="A43" s="380" t="s">
        <v>1033</v>
      </c>
      <c r="B43" s="381" t="s">
        <v>1489</v>
      </c>
      <c r="C43" s="382">
        <f ca="1">ROUND(C40*10000/F43,0)</f>
        <v>5153</v>
      </c>
      <c r="D43" s="383" t="s">
        <v>1490</v>
      </c>
      <c r="E43" s="384" t="s">
        <v>1491</v>
      </c>
      <c r="F43" s="385">
        <f ca="1">INDIRECT("'数据-取费表'!k"&amp;$G$1)</f>
        <v>2344.4799999999996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-1711</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1208</v>
      </c>
      <c r="R47" s="1886" t="s">
        <v>1531</v>
      </c>
    </row>
    <row r="48" spans="1:18" s="1842" customFormat="1" ht="28.5" thickBot="1">
      <c r="A48" s="1359" t="s">
        <v>1135</v>
      </c>
      <c r="B48" s="345" t="s">
        <v>1402</v>
      </c>
      <c r="C48" s="1817">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v>2018</v>
      </c>
      <c r="K49" s="1889" t="s">
        <v>1537</v>
      </c>
      <c r="L49" s="1893"/>
      <c r="O49" s="1894" t="s">
        <v>1042</v>
      </c>
      <c r="P49" s="1885" t="s">
        <v>1538</v>
      </c>
      <c r="Q49" s="1886">
        <f ca="1">C29</f>
        <v>951</v>
      </c>
      <c r="R49" s="1886" t="s">
        <v>1531</v>
      </c>
    </row>
    <row r="50" spans="1:18" s="1842" customFormat="1" ht="13.5" thickBot="1">
      <c r="A50" s="1194"/>
      <c r="B50" s="1197"/>
      <c r="C50" s="1367"/>
      <c r="D50" s="1171"/>
      <c r="E50" s="1276" t="s">
        <v>1407</v>
      </c>
      <c r="F50" s="1277">
        <f ca="1">F7</f>
        <v>2344.4799999999996</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-552</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f ca="1">IF(M47="住宅",J51,IF(D1="——",MIN(J51,L48),IF(D1="在建（套用方法）",MIN(J51,L48-'数据-取费表'!B24),IF(D1="土地（套用方法）",MIN(J51,L48-'数据-取费表'!B20)))))</f>
        <v>41.47</v>
      </c>
      <c r="K53" s="3893" t="s">
        <v>1550</v>
      </c>
      <c r="L53" s="3894"/>
      <c r="O53" s="1884" t="s">
        <v>1046</v>
      </c>
      <c r="P53" s="1885" t="s">
        <v>1551</v>
      </c>
      <c r="Q53" s="1886">
        <f ca="1">Q47+Q48</f>
        <v>1208</v>
      </c>
      <c r="R53" s="1886" t="s">
        <v>1047</v>
      </c>
    </row>
    <row r="54" spans="1:18" s="1842" customFormat="1" ht="13.5" thickBot="1">
      <c r="A54" s="1405"/>
      <c r="B54" s="1825" t="s">
        <v>1389</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951</v>
      </c>
      <c r="D56" s="1914"/>
      <c r="E56" s="1915"/>
      <c r="F56" s="1907"/>
      <c r="I56" s="1916" t="s">
        <v>1556</v>
      </c>
      <c r="J56" s="1917" t="s">
        <v>3042</v>
      </c>
      <c r="K56" s="1887" t="s">
        <v>1557</v>
      </c>
      <c r="L56" s="1890" t="str">
        <f ca="1">IF(L48&lt;J51,"——",L48-J53)</f>
        <v>——</v>
      </c>
      <c r="O56" s="1884" t="s">
        <v>1040</v>
      </c>
      <c r="P56" s="1885" t="s">
        <v>1530</v>
      </c>
      <c r="Q56" s="1886">
        <f ca="1">C40+J29</f>
        <v>1208</v>
      </c>
      <c r="R56" s="1886" t="s">
        <v>1531</v>
      </c>
    </row>
    <row r="57" spans="1:18" s="1842" customFormat="1" ht="24.75" thickBot="1">
      <c r="A57" s="1918"/>
      <c r="B57" s="1168" t="s">
        <v>1480</v>
      </c>
      <c r="C57" s="282">
        <f ca="1">C29</f>
        <v>951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29</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8.1</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7.99</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0.08</v>
      </c>
      <c r="D62" s="1183" t="s">
        <v>1499</v>
      </c>
      <c r="E62" s="1168" t="s">
        <v>1500</v>
      </c>
      <c r="F62" s="371">
        <f t="shared" si="0"/>
        <v>1.5</v>
      </c>
      <c r="I62" s="1929" t="s">
        <v>1572</v>
      </c>
      <c r="J62" s="1930" t="s">
        <v>1573</v>
      </c>
      <c r="K62" s="1930" t="s">
        <v>1574</v>
      </c>
      <c r="L62" s="1930" t="s">
        <v>1575</v>
      </c>
      <c r="M62" s="1931" t="s">
        <v>1576</v>
      </c>
      <c r="O62" s="1884" t="s">
        <v>1046</v>
      </c>
      <c r="P62" s="1885" t="s">
        <v>1577</v>
      </c>
      <c r="Q62" s="1886">
        <f ca="1">Q56+Q57</f>
        <v>1208</v>
      </c>
      <c r="R62" s="1886" t="s">
        <v>1047</v>
      </c>
    </row>
    <row r="63" spans="1:18" s="1842" customFormat="1" ht="13.5" thickBot="1">
      <c r="A63" s="372"/>
      <c r="B63" s="1174"/>
      <c r="C63" s="29"/>
      <c r="D63" s="1184"/>
      <c r="E63" s="1168" t="s">
        <v>1501</v>
      </c>
      <c r="F63" s="348">
        <f t="shared" ca="1" si="0"/>
        <v>504.26</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19</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1.9</v>
      </c>
      <c r="D65" s="1182" t="s">
        <v>1456</v>
      </c>
      <c r="E65" s="1168" t="s">
        <v>1457</v>
      </c>
      <c r="F65" s="376">
        <f t="shared" ca="1" si="0"/>
        <v>2E-3</v>
      </c>
      <c r="I65" s="1929" t="s">
        <v>1581</v>
      </c>
      <c r="J65" s="1930">
        <v>40</v>
      </c>
      <c r="K65" s="1930">
        <v>30</v>
      </c>
      <c r="L65" s="1930">
        <v>50</v>
      </c>
      <c r="M65" s="1932">
        <v>0.02</v>
      </c>
      <c r="O65" s="1884" t="s">
        <v>1040</v>
      </c>
      <c r="P65" s="1885" t="s">
        <v>1582</v>
      </c>
      <c r="Q65" s="1886">
        <f ca="1">C40+J29</f>
        <v>1208</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-29</v>
      </c>
      <c r="D67" s="1181" t="s">
        <v>1466</v>
      </c>
      <c r="E67" s="1186"/>
      <c r="F67" s="1187"/>
      <c r="O67" s="1894" t="s">
        <v>1042</v>
      </c>
      <c r="P67" s="1885" t="s">
        <v>1564</v>
      </c>
      <c r="Q67" s="1933">
        <f ca="1">L51</f>
        <v>-552</v>
      </c>
      <c r="R67" s="1886" t="s">
        <v>1584</v>
      </c>
    </row>
    <row r="68" spans="1:18" s="1842" customFormat="1" ht="16.5" thickBot="1">
      <c r="A68" s="1165" t="s">
        <v>1032</v>
      </c>
      <c r="B68" s="1166" t="s">
        <v>1487</v>
      </c>
      <c r="C68" s="346">
        <f ca="1">ROUND(C67*(1-((1+F70)/(1+F68))^F69)/(F68-F70),0)</f>
        <v>-503</v>
      </c>
      <c r="D68" s="1183" t="s">
        <v>1471</v>
      </c>
      <c r="E68" s="1168" t="s">
        <v>1472</v>
      </c>
      <c r="F68" s="357">
        <f ca="1">F40</f>
        <v>0.05</v>
      </c>
      <c r="O68" s="1894" t="s">
        <v>1043</v>
      </c>
      <c r="P68" s="1934" t="s">
        <v>1585</v>
      </c>
      <c r="Q68" s="1886">
        <f ca="1">ROUND(Q69-Q70*Q71,0)</f>
        <v>-30</v>
      </c>
      <c r="R68" s="1886" t="s">
        <v>1051</v>
      </c>
    </row>
    <row r="69" spans="1:18" s="1842" customFormat="1" ht="13.5" thickBot="1">
      <c r="A69" s="1169"/>
      <c r="B69" s="1170"/>
      <c r="C69" s="351"/>
      <c r="D69" s="1188" t="s">
        <v>1475</v>
      </c>
      <c r="E69" s="1168" t="s">
        <v>1476</v>
      </c>
      <c r="F69" s="379">
        <f ca="1">F41</f>
        <v>41.47</v>
      </c>
      <c r="O69" s="1894" t="s">
        <v>1048</v>
      </c>
      <c r="P69" s="1934" t="s">
        <v>1586</v>
      </c>
      <c r="Q69" s="1886">
        <f ca="1">C39</f>
        <v>56</v>
      </c>
      <c r="R69" s="1886" t="s">
        <v>1531</v>
      </c>
    </row>
    <row r="70" spans="1:18" s="1842" customFormat="1" ht="13.5" thickBot="1">
      <c r="A70" s="1172"/>
      <c r="B70" s="1173"/>
      <c r="C70" s="355"/>
      <c r="D70" s="1184"/>
      <c r="E70" s="1168" t="s">
        <v>1479</v>
      </c>
      <c r="F70" s="1274"/>
      <c r="O70" s="1894" t="s">
        <v>1049</v>
      </c>
      <c r="P70" s="1934" t="s">
        <v>1587</v>
      </c>
      <c r="Q70" s="1886">
        <f ca="1">C13</f>
        <v>951</v>
      </c>
      <c r="R70" s="1886" t="s">
        <v>1531</v>
      </c>
    </row>
    <row r="71" spans="1:18" s="1842" customFormat="1" ht="13.5" thickBot="1">
      <c r="A71" s="1189" t="s">
        <v>1033</v>
      </c>
      <c r="B71" s="1190" t="s">
        <v>1489</v>
      </c>
      <c r="C71" s="382">
        <f ca="1">ROUND(C68*10000/F71,0)</f>
        <v>-2145</v>
      </c>
      <c r="D71" s="1191" t="s">
        <v>1490</v>
      </c>
      <c r="E71" s="1192" t="s">
        <v>1491</v>
      </c>
      <c r="F71" s="385">
        <f ca="1">F43</f>
        <v>2344.4799999999996</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86</v>
      </c>
      <c r="D75" s="1842"/>
      <c r="E75" s="1842"/>
      <c r="F75" s="1842"/>
      <c r="K75" s="1868"/>
      <c r="L75" s="1842"/>
      <c r="O75" s="1884" t="s">
        <v>1046</v>
      </c>
      <c r="P75" s="1885" t="s">
        <v>1551</v>
      </c>
      <c r="Q75" s="1886">
        <f ca="1">Q65+Q66</f>
        <v>1208</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-0.53600000000000003</v>
      </c>
    </row>
    <row r="80" spans="1:18">
      <c r="B80" s="386" t="s">
        <v>1513</v>
      </c>
      <c r="C80" s="318">
        <f ca="1">ROUND(C75/C39,3)</f>
        <v>1.536</v>
      </c>
    </row>
    <row r="81" spans="2:3">
      <c r="B81" s="314" t="s">
        <v>1514</v>
      </c>
      <c r="C81" s="282"/>
    </row>
    <row r="82" spans="2:3">
      <c r="B82" s="317" t="s">
        <v>1515</v>
      </c>
      <c r="C82" s="319">
        <f ca="1">1-C83</f>
        <v>0.21299999999999997</v>
      </c>
    </row>
    <row r="83" spans="2:3">
      <c r="B83" s="317" t="s">
        <v>1516</v>
      </c>
      <c r="C83" s="318">
        <f ca="1">ROUND(C13/C40,3)</f>
        <v>0.78700000000000003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6" priority="56">
      <formula>$L$48&gt;$J$51</formula>
    </cfRule>
  </conditionalFormatting>
  <conditionalFormatting sqref="I55 I60">
    <cfRule type="expression" dxfId="45" priority="57">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883" t="s">
        <v>2550</v>
      </c>
      <c r="Q7" s="3885"/>
      <c r="R7" s="770" t="s">
        <v>17</v>
      </c>
      <c r="S7" s="771">
        <f t="shared" ref="S7:S14" si="0">F7</f>
        <v>0</v>
      </c>
      <c r="T7" s="770" t="s">
        <v>17</v>
      </c>
      <c r="U7" s="771">
        <f t="shared" ref="U7:U14" si="1">H7</f>
        <v>0</v>
      </c>
      <c r="V7" s="770" t="s">
        <v>17</v>
      </c>
      <c r="W7" s="771">
        <f t="shared" ref="W7:W14" si="2">J7</f>
        <v>0</v>
      </c>
      <c r="X7" s="772"/>
      <c r="Y7" s="3883" t="s">
        <v>2550</v>
      </c>
      <c r="Z7" s="388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847" t="s">
        <v>2556</v>
      </c>
      <c r="Q9" s="1795" t="str">
        <f t="shared" ref="Q9:Q14" si="6">B9</f>
        <v>用途</v>
      </c>
      <c r="R9" s="770" t="s">
        <v>17</v>
      </c>
      <c r="S9" s="771">
        <f t="shared" si="0"/>
        <v>100</v>
      </c>
      <c r="T9" s="770" t="s">
        <v>17</v>
      </c>
      <c r="U9" s="771">
        <f t="shared" si="1"/>
        <v>100</v>
      </c>
      <c r="V9" s="770" t="s">
        <v>17</v>
      </c>
      <c r="W9" s="771">
        <f t="shared" si="2"/>
        <v>100</v>
      </c>
      <c r="X9" s="772"/>
      <c r="Y9" s="370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847"/>
      <c r="Q11" s="1795">
        <f t="shared" si="6"/>
        <v>111</v>
      </c>
      <c r="R11" s="770" t="s">
        <v>17</v>
      </c>
      <c r="S11" s="771">
        <f t="shared" si="0"/>
        <v>100</v>
      </c>
      <c r="T11" s="770" t="s">
        <v>17</v>
      </c>
      <c r="U11" s="771">
        <f t="shared" si="1"/>
        <v>100</v>
      </c>
      <c r="V11" s="770" t="s">
        <v>17</v>
      </c>
      <c r="W11" s="771">
        <f t="shared" si="2"/>
        <v>100</v>
      </c>
      <c r="X11" s="772"/>
      <c r="Y11" s="370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71.25">
      <c r="A14" s="440" t="s">
        <v>2560</v>
      </c>
      <c r="B14" s="69" t="s">
        <v>2710</v>
      </c>
      <c r="C14" s="2692" t="str">
        <f>IF(B1="工业",估价对象房地状况!G4,估价对象房地状况!C6)</f>
        <v>周边道路状况好、公共交通通达情况好、停车便捷，综合评价交通便捷度好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849" t="s">
        <v>2561</v>
      </c>
      <c r="Q14" s="1810" t="str">
        <f t="shared" si="6"/>
        <v>交通便捷度</v>
      </c>
      <c r="R14" s="774" t="s">
        <v>17</v>
      </c>
      <c r="S14" s="775">
        <f t="shared" si="0"/>
        <v>100</v>
      </c>
      <c r="T14" s="774" t="s">
        <v>17</v>
      </c>
      <c r="U14" s="775">
        <f t="shared" si="1"/>
        <v>100</v>
      </c>
      <c r="V14" s="774" t="s">
        <v>17</v>
      </c>
      <c r="W14" s="775">
        <f t="shared" si="2"/>
        <v>100</v>
      </c>
      <c r="X14" s="1813"/>
      <c r="Y14" s="3849"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850"/>
      <c r="Q15" s="1810"/>
      <c r="R15" s="774"/>
      <c r="S15" s="775"/>
      <c r="T15" s="774"/>
      <c r="U15" s="775"/>
      <c r="V15" s="774"/>
      <c r="W15" s="775"/>
      <c r="X15" s="1813"/>
      <c r="Y15" s="3850"/>
      <c r="Z15" s="1814"/>
      <c r="AA15" s="1811">
        <v>1</v>
      </c>
      <c r="AB15" s="1811">
        <v>1</v>
      </c>
      <c r="AC15" s="1811">
        <v>1</v>
      </c>
    </row>
    <row r="16" spans="1:29" ht="42.75">
      <c r="A16" s="428"/>
      <c r="B16" s="451" t="s">
        <v>2689</v>
      </c>
      <c r="C16" s="2606"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850"/>
      <c r="Q16" s="1810" t="str">
        <f>B16</f>
        <v>公共配套设施</v>
      </c>
      <c r="R16" s="774" t="s">
        <v>17</v>
      </c>
      <c r="S16" s="775">
        <f>F16</f>
        <v>100</v>
      </c>
      <c r="T16" s="774" t="s">
        <v>17</v>
      </c>
      <c r="U16" s="775">
        <f>H16</f>
        <v>100</v>
      </c>
      <c r="V16" s="774" t="s">
        <v>17</v>
      </c>
      <c r="W16" s="775">
        <f>J16</f>
        <v>100</v>
      </c>
      <c r="X16" s="1813"/>
      <c r="Y16" s="3850"/>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39"/>
      <c r="M17" s="1130"/>
      <c r="N17" s="1130"/>
      <c r="O17" s="1138"/>
      <c r="P17" s="3850"/>
      <c r="Q17" s="1810"/>
      <c r="R17" s="774"/>
      <c r="S17" s="775"/>
      <c r="T17" s="774"/>
      <c r="U17" s="775"/>
      <c r="V17" s="774"/>
      <c r="W17" s="775"/>
      <c r="X17" s="1813"/>
      <c r="Y17" s="3850"/>
      <c r="Z17" s="1814"/>
      <c r="AA17" s="1811">
        <v>1</v>
      </c>
      <c r="AB17" s="1811">
        <v>1</v>
      </c>
      <c r="AC17" s="1811">
        <v>1</v>
      </c>
    </row>
    <row r="18" spans="1:29" ht="42.75">
      <c r="A18" s="428"/>
      <c r="B18" s="1383" t="s">
        <v>2690</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850"/>
      <c r="Q18" s="1810" t="str">
        <f>B18</f>
        <v>基础设施水平</v>
      </c>
      <c r="R18" s="774" t="s">
        <v>17</v>
      </c>
      <c r="S18" s="775">
        <f>F18</f>
        <v>100</v>
      </c>
      <c r="T18" s="774" t="s">
        <v>17</v>
      </c>
      <c r="U18" s="775">
        <f>H18</f>
        <v>100</v>
      </c>
      <c r="V18" s="774" t="s">
        <v>17</v>
      </c>
      <c r="W18" s="775">
        <f>J18</f>
        <v>100</v>
      </c>
      <c r="X18" s="1813"/>
      <c r="Y18" s="3850"/>
      <c r="Z18" s="1814" t="str">
        <f>Q18</f>
        <v>基础设施水平</v>
      </c>
      <c r="AA18" s="1811">
        <f t="shared" ref="AA18" si="8">D18/F18</f>
        <v>1</v>
      </c>
      <c r="AB18" s="1811">
        <f t="shared" ref="AB18" si="9">D18/H18</f>
        <v>1</v>
      </c>
      <c r="AC18" s="1811">
        <f t="shared" ref="AC18" si="10">D18/J18</f>
        <v>1</v>
      </c>
    </row>
    <row r="19" spans="1:29" ht="15">
      <c r="A19" s="428"/>
      <c r="B19" s="1383"/>
      <c r="C19" s="2607"/>
      <c r="D19" s="450"/>
      <c r="E19" s="2607"/>
      <c r="F19" s="453"/>
      <c r="G19" s="2607"/>
      <c r="H19" s="448"/>
      <c r="I19" s="447"/>
      <c r="J19" s="448"/>
      <c r="K19" s="1382"/>
      <c r="L19" s="1139"/>
      <c r="M19" s="1130"/>
      <c r="N19" s="1130"/>
      <c r="O19" s="1138"/>
      <c r="P19" s="3850"/>
      <c r="Q19" s="1810"/>
      <c r="R19" s="774"/>
      <c r="S19" s="775"/>
      <c r="T19" s="774"/>
      <c r="U19" s="775"/>
      <c r="V19" s="774"/>
      <c r="W19" s="775"/>
      <c r="X19" s="1813"/>
      <c r="Y19" s="3850"/>
      <c r="Z19" s="1814"/>
      <c r="AA19" s="1811">
        <v>1</v>
      </c>
      <c r="AB19" s="1811">
        <v>1</v>
      </c>
      <c r="AC19" s="1811">
        <v>1</v>
      </c>
    </row>
    <row r="20" spans="1:29" ht="57">
      <c r="A20" s="428"/>
      <c r="B20" s="451" t="s">
        <v>2711</v>
      </c>
      <c r="C20" s="2606" t="str">
        <f>IF(B1="工业",估价对象房地状况!G7,估价对象房地状况!C9)</f>
        <v>区域自然环境好；人文环境好；综合评价环境状况好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850"/>
      <c r="Q20" s="1810" t="str">
        <f>B20</f>
        <v>自然及人文环境</v>
      </c>
      <c r="R20" s="774" t="s">
        <v>17</v>
      </c>
      <c r="S20" s="775">
        <f>F20</f>
        <v>100</v>
      </c>
      <c r="T20" s="774" t="s">
        <v>17</v>
      </c>
      <c r="U20" s="775">
        <f>H20</f>
        <v>100</v>
      </c>
      <c r="V20" s="774" t="s">
        <v>17</v>
      </c>
      <c r="W20" s="775">
        <f>J20</f>
        <v>100</v>
      </c>
      <c r="X20" s="1813"/>
      <c r="Y20" s="385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850"/>
      <c r="Q21" s="1810"/>
      <c r="R21" s="774"/>
      <c r="S21" s="775"/>
      <c r="T21" s="774"/>
      <c r="U21" s="775"/>
      <c r="V21" s="774"/>
      <c r="W21" s="775"/>
      <c r="X21" s="1813"/>
      <c r="Y21" s="3850"/>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850"/>
      <c r="Q22" s="1810" t="str">
        <f>B22</f>
        <v>楼层</v>
      </c>
      <c r="R22" s="774" t="s">
        <v>17</v>
      </c>
      <c r="S22" s="775">
        <f>F22</f>
        <v>100</v>
      </c>
      <c r="T22" s="774" t="s">
        <v>17</v>
      </c>
      <c r="U22" s="775">
        <f>H22</f>
        <v>100</v>
      </c>
      <c r="V22" s="774" t="s">
        <v>17</v>
      </c>
      <c r="W22" s="775">
        <f>J22</f>
        <v>100</v>
      </c>
      <c r="X22" s="1813"/>
      <c r="Y22" s="3850"/>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850"/>
      <c r="Q23" s="1810">
        <f>B23</f>
        <v>111</v>
      </c>
      <c r="R23" s="774" t="s">
        <v>17</v>
      </c>
      <c r="S23" s="775">
        <f>F23</f>
        <v>100</v>
      </c>
      <c r="T23" s="774" t="s">
        <v>17</v>
      </c>
      <c r="U23" s="775">
        <f>H23</f>
        <v>100</v>
      </c>
      <c r="V23" s="774" t="s">
        <v>17</v>
      </c>
      <c r="W23" s="775">
        <f>J23</f>
        <v>100</v>
      </c>
      <c r="X23" s="1813"/>
      <c r="Y23" s="3850"/>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850"/>
      <c r="Q24" s="1810">
        <f t="shared" ref="Q24:Q34" si="11">B24</f>
        <v>111</v>
      </c>
      <c r="R24" s="774" t="s">
        <v>17</v>
      </c>
      <c r="S24" s="775">
        <f>F24</f>
        <v>100</v>
      </c>
      <c r="T24" s="774" t="s">
        <v>17</v>
      </c>
      <c r="U24" s="775">
        <f>H24</f>
        <v>100</v>
      </c>
      <c r="V24" s="774" t="s">
        <v>17</v>
      </c>
      <c r="W24" s="775">
        <f>J24</f>
        <v>100</v>
      </c>
      <c r="X24" s="1813"/>
      <c r="Y24" s="3850"/>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850"/>
      <c r="Q25" s="1795">
        <f t="shared" si="11"/>
        <v>111</v>
      </c>
      <c r="R25" s="770" t="s">
        <v>17</v>
      </c>
      <c r="S25" s="771">
        <f>F25</f>
        <v>100</v>
      </c>
      <c r="T25" s="770" t="s">
        <v>17</v>
      </c>
      <c r="U25" s="771">
        <f>H25</f>
        <v>100</v>
      </c>
      <c r="V25" s="770" t="s">
        <v>17</v>
      </c>
      <c r="W25" s="771">
        <f>J25</f>
        <v>100</v>
      </c>
      <c r="X25" s="772"/>
      <c r="Y25" s="3850"/>
      <c r="Z25" s="55">
        <f>Q25</f>
        <v>111</v>
      </c>
      <c r="AA25" s="1811">
        <f>D25/F25</f>
        <v>1</v>
      </c>
      <c r="AB25" s="1811">
        <f>D25/H25</f>
        <v>1</v>
      </c>
      <c r="AC25" s="1811">
        <f>D25/J25</f>
        <v>1</v>
      </c>
    </row>
    <row r="26" spans="1:29" ht="15">
      <c r="A26" s="466" t="s">
        <v>2564</v>
      </c>
      <c r="B26" s="71"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4029"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854"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854"/>
      <c r="Q27" s="776" t="str">
        <f t="shared" si="11"/>
        <v>成新率</v>
      </c>
      <c r="R27" s="777" t="s">
        <v>17</v>
      </c>
      <c r="S27" s="778" t="e">
        <f t="shared" si="12"/>
        <v>#N/A</v>
      </c>
      <c r="T27" s="777" t="s">
        <v>17</v>
      </c>
      <c r="U27" s="778" t="e">
        <f t="shared" si="13"/>
        <v>#N/A</v>
      </c>
      <c r="V27" s="777" t="s">
        <v>17</v>
      </c>
      <c r="W27" s="778" t="e">
        <f t="shared" si="14"/>
        <v>#N/A</v>
      </c>
      <c r="X27" s="779"/>
      <c r="Y27" s="3854"/>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854"/>
      <c r="Q28" s="1810" t="str">
        <f t="shared" si="11"/>
        <v>物业等级</v>
      </c>
      <c r="R28" s="774" t="s">
        <v>17</v>
      </c>
      <c r="S28" s="775">
        <f t="shared" si="12"/>
        <v>100</v>
      </c>
      <c r="T28" s="774" t="s">
        <v>17</v>
      </c>
      <c r="U28" s="775">
        <f t="shared" si="13"/>
        <v>100</v>
      </c>
      <c r="V28" s="774" t="s">
        <v>17</v>
      </c>
      <c r="W28" s="775">
        <f t="shared" si="14"/>
        <v>100</v>
      </c>
      <c r="X28" s="1813"/>
      <c r="Y28" s="3854"/>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854"/>
      <c r="Q29" s="1810" t="str">
        <f t="shared" si="11"/>
        <v>有无电梯</v>
      </c>
      <c r="R29" s="774" t="s">
        <v>17</v>
      </c>
      <c r="S29" s="775">
        <f t="shared" si="12"/>
        <v>100</v>
      </c>
      <c r="T29" s="774" t="s">
        <v>17</v>
      </c>
      <c r="U29" s="775">
        <f t="shared" si="13"/>
        <v>100</v>
      </c>
      <c r="V29" s="774" t="s">
        <v>17</v>
      </c>
      <c r="W29" s="775">
        <f t="shared" si="14"/>
        <v>100</v>
      </c>
      <c r="X29" s="1813"/>
      <c r="Y29" s="3854"/>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854"/>
      <c r="Q30" s="1810" t="str">
        <f t="shared" si="11"/>
        <v>建筑面积</v>
      </c>
      <c r="R30" s="774" t="s">
        <v>17</v>
      </c>
      <c r="S30" s="775" t="e">
        <f t="shared" si="12"/>
        <v>#N/A</v>
      </c>
      <c r="T30" s="774" t="s">
        <v>17</v>
      </c>
      <c r="U30" s="775" t="e">
        <f t="shared" si="13"/>
        <v>#N/A</v>
      </c>
      <c r="V30" s="774" t="s">
        <v>17</v>
      </c>
      <c r="W30" s="775" t="e">
        <f t="shared" si="14"/>
        <v>#N/A</v>
      </c>
      <c r="X30" s="1813"/>
      <c r="Y30" s="3854"/>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854"/>
      <c r="Q31" s="1795" t="str">
        <f t="shared" si="11"/>
        <v>是否封闭</v>
      </c>
      <c r="R31" s="770" t="s">
        <v>17</v>
      </c>
      <c r="S31" s="771">
        <f t="shared" si="12"/>
        <v>100</v>
      </c>
      <c r="T31" s="770" t="s">
        <v>17</v>
      </c>
      <c r="U31" s="771">
        <f t="shared" si="13"/>
        <v>100</v>
      </c>
      <c r="V31" s="770" t="s">
        <v>17</v>
      </c>
      <c r="W31" s="771">
        <f t="shared" si="14"/>
        <v>100</v>
      </c>
      <c r="X31" s="772"/>
      <c r="Y31" s="385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854" t="s">
        <v>2566</v>
      </c>
      <c r="Q32" s="1810">
        <f t="shared" si="11"/>
        <v>111</v>
      </c>
      <c r="R32" s="774" t="s">
        <v>17</v>
      </c>
      <c r="S32" s="775">
        <f t="shared" si="12"/>
        <v>100</v>
      </c>
      <c r="T32" s="774" t="s">
        <v>17</v>
      </c>
      <c r="U32" s="775">
        <f t="shared" si="13"/>
        <v>100</v>
      </c>
      <c r="V32" s="774" t="s">
        <v>17</v>
      </c>
      <c r="W32" s="775">
        <f t="shared" si="14"/>
        <v>100</v>
      </c>
      <c r="X32" s="1813"/>
      <c r="Y32" s="3854" t="s">
        <v>2566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854"/>
      <c r="Q33" s="1810">
        <f t="shared" si="11"/>
        <v>111</v>
      </c>
      <c r="R33" s="774" t="s">
        <v>17</v>
      </c>
      <c r="S33" s="775">
        <f t="shared" si="12"/>
        <v>100</v>
      </c>
      <c r="T33" s="774" t="s">
        <v>17</v>
      </c>
      <c r="U33" s="775">
        <f t="shared" si="13"/>
        <v>100</v>
      </c>
      <c r="V33" s="774" t="s">
        <v>17</v>
      </c>
      <c r="W33" s="775">
        <f t="shared" si="14"/>
        <v>100</v>
      </c>
      <c r="X33" s="1813"/>
      <c r="Y33" s="3854"/>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854"/>
      <c r="Q34" s="1810">
        <f t="shared" si="11"/>
        <v>111</v>
      </c>
      <c r="R34" s="774" t="s">
        <v>17</v>
      </c>
      <c r="S34" s="775">
        <f t="shared" si="12"/>
        <v>100</v>
      </c>
      <c r="T34" s="774" t="s">
        <v>17</v>
      </c>
      <c r="U34" s="775">
        <f t="shared" si="13"/>
        <v>100</v>
      </c>
      <c r="V34" s="774" t="s">
        <v>17</v>
      </c>
      <c r="W34" s="775">
        <f t="shared" si="14"/>
        <v>100</v>
      </c>
      <c r="X34" s="1813"/>
      <c r="Y34" s="3854"/>
      <c r="Z34" s="1814">
        <f t="shared" si="15"/>
        <v>111</v>
      </c>
      <c r="AA34" s="1811">
        <f t="shared" si="3"/>
        <v>1</v>
      </c>
      <c r="AB34" s="1811">
        <f t="shared" si="4"/>
        <v>1</v>
      </c>
      <c r="AC34" s="1811">
        <f t="shared" si="5"/>
        <v>1</v>
      </c>
    </row>
    <row r="35" spans="1:29" ht="15">
      <c r="A35" s="479" t="s">
        <v>2578</v>
      </c>
      <c r="B35" s="480"/>
      <c r="C35" s="1406" t="s">
        <v>1</v>
      </c>
      <c r="D35" s="1407"/>
      <c r="E35" s="1408"/>
      <c r="F35" s="1409"/>
      <c r="G35" s="1410"/>
      <c r="H35" s="1411"/>
      <c r="I35" s="1408"/>
      <c r="J35" s="1411"/>
      <c r="K35" s="783"/>
      <c r="L35" s="1142"/>
      <c r="M35" s="1143"/>
      <c r="N35" s="1130"/>
      <c r="O35" s="1143"/>
      <c r="P35" s="3847" t="str">
        <f>A35</f>
        <v>成交单价（元/平方米）</v>
      </c>
      <c r="Q35" s="3847"/>
      <c r="R35" s="3848">
        <f>E35</f>
        <v>0</v>
      </c>
      <c r="S35" s="3848"/>
      <c r="T35" s="3848">
        <f>G35</f>
        <v>0</v>
      </c>
      <c r="U35" s="3848"/>
      <c r="V35" s="3848">
        <f>I35</f>
        <v>0</v>
      </c>
      <c r="W35" s="3848"/>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847" t="str">
        <f>A36</f>
        <v>比较价值（元/平方米）</v>
      </c>
      <c r="Q36" s="3847"/>
      <c r="R36" s="3848" t="e">
        <f>IF(F1="售价",ROUND(PRODUCT(R35,AA7:AA34),0),ROUND(PRODUCT(R35,AA7:AA34),1))</f>
        <v>#DIV/0!</v>
      </c>
      <c r="S36" s="3848"/>
      <c r="T36" s="3848" t="e">
        <f>IF(F1="售价",ROUND(PRODUCT(T35,AB7:AB34),0),ROUND(PRODUCT(T35,AB7:AB34),1))</f>
        <v>#DIV/0!</v>
      </c>
      <c r="U36" s="3848"/>
      <c r="V36" s="3848" t="e">
        <f>IF(F1="售价",ROUND(PRODUCT(V35,AC7:AC34),0),ROUND(PRODUCT(V35,AC7:AC34),1))</f>
        <v>#DIV/0!</v>
      </c>
      <c r="W36" s="3848"/>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844" t="str">
        <f>A37</f>
        <v>估价对象XX用房的比较价值（楼面单价，元/平方米）</v>
      </c>
      <c r="Q37" s="3845"/>
      <c r="R37" s="3846" t="e">
        <f>IF(F1="售价",ROUND(AVERAGE(R36:V36),0),ROUND(AVERAGE(R36:V36),1))</f>
        <v>#DIV/0!</v>
      </c>
      <c r="S37" s="3846"/>
      <c r="T37" s="3846"/>
      <c r="U37" s="3846"/>
      <c r="V37" s="3846"/>
      <c r="W37" s="384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30"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30"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30" s="117" customFormat="1" ht="15.75" thickBot="1">
      <c r="A7" s="408" t="s">
        <v>2549</v>
      </c>
      <c r="B7" s="409"/>
      <c r="C7" s="410">
        <f>'数据-取费表'!B2</f>
        <v>43110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5" si="3">D8/F8</f>
        <v>#DIV/0!</v>
      </c>
      <c r="AB8" s="773" t="e">
        <f t="shared" ref="AB8:AB45" si="4">D8/H8</f>
        <v>#DIV/0!</v>
      </c>
      <c r="AC8" s="773" t="e">
        <f t="shared" ref="AC8:AC45" si="5">D8/J8</f>
        <v>#DIV/0!</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847"/>
      <c r="Q10" s="1795" t="str">
        <f t="shared" si="6"/>
        <v>土地使用年限（年）</v>
      </c>
      <c r="R10" s="770" t="s">
        <v>17</v>
      </c>
      <c r="S10" s="771">
        <f t="shared" si="0"/>
        <v>106</v>
      </c>
      <c r="T10" s="770" t="s">
        <v>17</v>
      </c>
      <c r="U10" s="771">
        <f t="shared" si="1"/>
        <v>106</v>
      </c>
      <c r="V10" s="770" t="s">
        <v>17</v>
      </c>
      <c r="W10" s="771">
        <f t="shared" si="2"/>
        <v>106</v>
      </c>
      <c r="X10" s="772"/>
      <c r="Y10" s="3702"/>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847"/>
      <c r="Q12" s="1795" t="str">
        <f t="shared" si="6"/>
        <v>配建</v>
      </c>
      <c r="R12" s="770" t="s">
        <v>17</v>
      </c>
      <c r="S12" s="771">
        <f t="shared" si="0"/>
        <v>100</v>
      </c>
      <c r="T12" s="770" t="s">
        <v>17</v>
      </c>
      <c r="U12" s="771">
        <f t="shared" si="1"/>
        <v>100</v>
      </c>
      <c r="V12" s="770" t="s">
        <v>17</v>
      </c>
      <c r="W12" s="771">
        <f t="shared" si="2"/>
        <v>100</v>
      </c>
      <c r="X12" s="772"/>
      <c r="Y12" s="3702"/>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D14/F14</f>
        <v>1</v>
      </c>
      <c r="AB14" s="773">
        <f>D14/H14</f>
        <v>1</v>
      </c>
      <c r="AC14" s="773">
        <f>D14/J14</f>
        <v>1</v>
      </c>
    </row>
    <row r="15" spans="1:30" ht="99.75">
      <c r="A15" s="440" t="s">
        <v>2560</v>
      </c>
      <c r="B15" s="69" t="s">
        <v>2090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849" t="s">
        <v>2561</v>
      </c>
      <c r="Q15" s="1810" t="str">
        <f t="shared" si="6"/>
        <v>居住社区成熟度</v>
      </c>
      <c r="R15" s="774" t="s">
        <v>17</v>
      </c>
      <c r="S15" s="775">
        <f t="shared" si="0"/>
        <v>100</v>
      </c>
      <c r="T15" s="774" t="s">
        <v>17</v>
      </c>
      <c r="U15" s="775">
        <f t="shared" si="1"/>
        <v>100</v>
      </c>
      <c r="V15" s="774" t="s">
        <v>17</v>
      </c>
      <c r="W15" s="775">
        <f t="shared" si="2"/>
        <v>100</v>
      </c>
      <c r="X15" s="1813"/>
      <c r="Y15" s="3849" t="s">
        <v>2561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39"/>
      <c r="M16" s="1130"/>
      <c r="N16" s="1130"/>
      <c r="O16" s="1138"/>
      <c r="P16" s="3850"/>
      <c r="Q16" s="1810"/>
      <c r="R16" s="774"/>
      <c r="S16" s="775"/>
      <c r="T16" s="774"/>
      <c r="U16" s="775"/>
      <c r="V16" s="774"/>
      <c r="W16" s="775"/>
      <c r="X16" s="1813"/>
      <c r="Y16" s="3850"/>
      <c r="Z16" s="1814"/>
      <c r="AA16" s="1811">
        <v>1</v>
      </c>
      <c r="AB16" s="1811">
        <v>1</v>
      </c>
      <c r="AC16" s="1811">
        <v>1</v>
      </c>
    </row>
    <row r="17" spans="1:29" ht="42.75">
      <c r="A17" s="428"/>
      <c r="B17" s="451" t="s">
        <v>2654</v>
      </c>
      <c r="C17" s="2663" t="str">
        <f>估价对象房地状况!C16</f>
        <v>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850"/>
      <c r="Q17" s="1810" t="str">
        <f>B17</f>
        <v>商业繁华度</v>
      </c>
      <c r="R17" s="774" t="s">
        <v>17</v>
      </c>
      <c r="S17" s="775">
        <f>F17</f>
        <v>100</v>
      </c>
      <c r="T17" s="774" t="s">
        <v>17</v>
      </c>
      <c r="U17" s="775">
        <f>H17</f>
        <v>100</v>
      </c>
      <c r="V17" s="774" t="s">
        <v>17</v>
      </c>
      <c r="W17" s="775">
        <f>J17</f>
        <v>100</v>
      </c>
      <c r="X17" s="1813"/>
      <c r="Y17" s="3850"/>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39"/>
      <c r="M18" s="1130"/>
      <c r="N18" s="1130"/>
      <c r="O18" s="1138"/>
      <c r="P18" s="3850"/>
      <c r="Q18" s="1810"/>
      <c r="R18" s="774"/>
      <c r="S18" s="775"/>
      <c r="T18" s="774"/>
      <c r="U18" s="775"/>
      <c r="V18" s="774"/>
      <c r="W18" s="775"/>
      <c r="X18" s="1813"/>
      <c r="Y18" s="3850"/>
      <c r="Z18" s="1814"/>
      <c r="AA18" s="1811">
        <v>1</v>
      </c>
      <c r="AB18" s="1811">
        <v>1</v>
      </c>
      <c r="AC18" s="1811">
        <v>1</v>
      </c>
    </row>
    <row r="19" spans="1:29" ht="57">
      <c r="A19" s="428"/>
      <c r="B19" s="451" t="s">
        <v>2688</v>
      </c>
      <c r="C19" s="2663" t="str">
        <f>估价对象房地状况!C17</f>
        <v>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850"/>
      <c r="Q19" s="1810" t="str">
        <f>B19</f>
        <v>办公集聚程度</v>
      </c>
      <c r="R19" s="774" t="s">
        <v>17</v>
      </c>
      <c r="S19" s="775">
        <f>F19</f>
        <v>100</v>
      </c>
      <c r="T19" s="774" t="s">
        <v>17</v>
      </c>
      <c r="U19" s="775">
        <f>H19</f>
        <v>100</v>
      </c>
      <c r="V19" s="774" t="s">
        <v>17</v>
      </c>
      <c r="W19" s="775">
        <f>J19</f>
        <v>100</v>
      </c>
      <c r="X19" s="1813"/>
      <c r="Y19" s="3850"/>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39"/>
      <c r="M20" s="1130"/>
      <c r="N20" s="1130"/>
      <c r="O20" s="1138"/>
      <c r="P20" s="3850"/>
      <c r="Q20" s="1810"/>
      <c r="R20" s="774"/>
      <c r="S20" s="775"/>
      <c r="T20" s="774"/>
      <c r="U20" s="775"/>
      <c r="V20" s="774"/>
      <c r="W20" s="775"/>
      <c r="X20" s="1813"/>
      <c r="Y20" s="3850"/>
      <c r="Z20" s="1814"/>
      <c r="AA20" s="1811">
        <v>1</v>
      </c>
      <c r="AB20" s="1811">
        <v>1</v>
      </c>
      <c r="AC20" s="1811">
        <v>1</v>
      </c>
    </row>
    <row r="21" spans="1:29" ht="71.25">
      <c r="A21" s="428"/>
      <c r="B21" s="451" t="s">
        <v>2710</v>
      </c>
      <c r="C21" s="2606" t="str">
        <f>估价对象房地状况!C18</f>
        <v>周边道路状况好、公共交通通达情况好、停车便捷，综合评价交通便捷度好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850"/>
      <c r="Q21" s="1810" t="str">
        <f>B21</f>
        <v>交通便捷度</v>
      </c>
      <c r="R21" s="774" t="s">
        <v>17</v>
      </c>
      <c r="S21" s="775">
        <f>F21</f>
        <v>100</v>
      </c>
      <c r="T21" s="774" t="s">
        <v>17</v>
      </c>
      <c r="U21" s="775">
        <f>H21</f>
        <v>100</v>
      </c>
      <c r="V21" s="774" t="s">
        <v>17</v>
      </c>
      <c r="W21" s="775">
        <f>J21</f>
        <v>100</v>
      </c>
      <c r="X21" s="1813"/>
      <c r="Y21" s="3850"/>
      <c r="Z21" s="1814" t="str">
        <f>Q21</f>
        <v>交通便捷度</v>
      </c>
      <c r="AA21" s="1811">
        <f t="shared" si="3"/>
        <v>1</v>
      </c>
      <c r="AB21" s="1811">
        <f t="shared" si="4"/>
        <v>1</v>
      </c>
      <c r="AC21" s="1811">
        <f t="shared" si="5"/>
        <v>1</v>
      </c>
    </row>
    <row r="22" spans="1:29" ht="15">
      <c r="A22" s="428"/>
      <c r="B22" s="1383"/>
      <c r="C22" s="447"/>
      <c r="D22" s="450"/>
      <c r="E22" s="2604"/>
      <c r="F22" s="448"/>
      <c r="G22" s="2604"/>
      <c r="H22" s="448"/>
      <c r="I22" s="2603"/>
      <c r="J22" s="448"/>
      <c r="K22" s="672"/>
      <c r="L22" s="1139"/>
      <c r="M22" s="1130"/>
      <c r="N22" s="1130"/>
      <c r="O22" s="1138"/>
      <c r="P22" s="3850"/>
      <c r="Q22" s="1810"/>
      <c r="R22" s="774"/>
      <c r="S22" s="775"/>
      <c r="T22" s="774"/>
      <c r="U22" s="775"/>
      <c r="V22" s="774"/>
      <c r="W22" s="775"/>
      <c r="X22" s="1813"/>
      <c r="Y22" s="3850"/>
      <c r="Z22" s="1814"/>
      <c r="AA22" s="1811">
        <v>1</v>
      </c>
      <c r="AB22" s="1811">
        <v>1</v>
      </c>
      <c r="AC22" s="1811">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850"/>
      <c r="Q23" s="1810" t="str">
        <f t="shared" ref="Q23:Q37" si="8">B23</f>
        <v>区域土地利用方向</v>
      </c>
      <c r="R23" s="774" t="s">
        <v>17</v>
      </c>
      <c r="S23" s="775">
        <f>F23</f>
        <v>100</v>
      </c>
      <c r="T23" s="774" t="s">
        <v>17</v>
      </c>
      <c r="U23" s="775">
        <f>H23</f>
        <v>100</v>
      </c>
      <c r="V23" s="774" t="s">
        <v>17</v>
      </c>
      <c r="W23" s="775">
        <f>J23</f>
        <v>100</v>
      </c>
      <c r="X23" s="1813"/>
      <c r="Y23" s="3850"/>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8"/>
      <c r="L24" s="1139"/>
      <c r="M24" s="1130"/>
      <c r="N24" s="1130"/>
      <c r="O24" s="1138"/>
      <c r="P24" s="3850"/>
      <c r="Q24" s="1810"/>
      <c r="R24" s="774"/>
      <c r="S24" s="775"/>
      <c r="T24" s="774"/>
      <c r="U24" s="775"/>
      <c r="V24" s="774"/>
      <c r="W24" s="775"/>
      <c r="X24" s="1813"/>
      <c r="Y24" s="3850"/>
      <c r="Z24" s="1814"/>
      <c r="AA24" s="1811"/>
      <c r="AB24" s="1811"/>
      <c r="AC24" s="1811"/>
    </row>
    <row r="25" spans="1:29" ht="57">
      <c r="A25" s="404"/>
      <c r="B25" s="1383" t="s">
        <v>2750</v>
      </c>
      <c r="C25" s="2663" t="str">
        <f>估价对象房地状况!C20</f>
        <v>区域自然环境好；人文环境好；综合评价环境状况好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850"/>
      <c r="Q25" s="1810" t="str">
        <f t="shared" si="8"/>
        <v>自然及人文环境状况</v>
      </c>
      <c r="R25" s="774" t="s">
        <v>17</v>
      </c>
      <c r="S25" s="775">
        <f>F25</f>
        <v>100</v>
      </c>
      <c r="T25" s="774" t="s">
        <v>17</v>
      </c>
      <c r="U25" s="775">
        <f>H25</f>
        <v>100</v>
      </c>
      <c r="V25" s="774" t="s">
        <v>17</v>
      </c>
      <c r="W25" s="775">
        <f>J25</f>
        <v>100</v>
      </c>
      <c r="X25" s="1813"/>
      <c r="Y25" s="3850"/>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39"/>
      <c r="M26" s="1130"/>
      <c r="N26" s="1130"/>
      <c r="O26" s="1138"/>
      <c r="P26" s="3850"/>
      <c r="Q26" s="1810"/>
      <c r="R26" s="774"/>
      <c r="S26" s="775"/>
      <c r="T26" s="774"/>
      <c r="U26" s="775"/>
      <c r="V26" s="774"/>
      <c r="W26" s="775"/>
      <c r="X26" s="1813"/>
      <c r="Y26" s="3850"/>
      <c r="Z26" s="1814"/>
      <c r="AA26" s="1811">
        <v>1</v>
      </c>
      <c r="AB26" s="1811">
        <v>1</v>
      </c>
      <c r="AC26" s="1811">
        <v>1</v>
      </c>
    </row>
    <row r="27" spans="1:29" s="117" customFormat="1" ht="42.75">
      <c r="A27" s="649"/>
      <c r="B27" s="1383" t="s">
        <v>2655</v>
      </c>
      <c r="C27" s="2606"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850"/>
      <c r="Q27" s="1795" t="str">
        <f t="shared" si="8"/>
        <v>公共配套设施</v>
      </c>
      <c r="R27" s="770" t="s">
        <v>17</v>
      </c>
      <c r="S27" s="771">
        <f>F27</f>
        <v>100</v>
      </c>
      <c r="T27" s="770" t="s">
        <v>17</v>
      </c>
      <c r="U27" s="771">
        <f>H27</f>
        <v>100</v>
      </c>
      <c r="V27" s="770" t="s">
        <v>17</v>
      </c>
      <c r="W27" s="771">
        <f>J27</f>
        <v>100</v>
      </c>
      <c r="X27" s="772"/>
      <c r="Y27" s="3850"/>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1"/>
      <c r="M28" s="1132"/>
      <c r="N28" s="1132"/>
      <c r="O28" s="1133"/>
      <c r="P28" s="3850"/>
      <c r="Q28" s="1795"/>
      <c r="R28" s="770"/>
      <c r="S28" s="771"/>
      <c r="T28" s="770"/>
      <c r="U28" s="771"/>
      <c r="V28" s="770"/>
      <c r="W28" s="771"/>
      <c r="X28" s="772"/>
      <c r="Y28" s="3850"/>
      <c r="Z28" s="55"/>
      <c r="AA28" s="1811">
        <v>1</v>
      </c>
      <c r="AB28" s="1811">
        <v>1</v>
      </c>
      <c r="AC28" s="1811">
        <v>1</v>
      </c>
    </row>
    <row r="29" spans="1:29" s="117" customFormat="1" ht="42.75">
      <c r="A29" s="649"/>
      <c r="B29" s="1383" t="s">
        <v>2656</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850"/>
      <c r="Q29" s="1795" t="str">
        <f t="shared" ref="Q29" si="9">B29</f>
        <v>基础设施水平</v>
      </c>
      <c r="R29" s="770" t="s">
        <v>17</v>
      </c>
      <c r="S29" s="771">
        <f>F29</f>
        <v>100</v>
      </c>
      <c r="T29" s="770" t="s">
        <v>17</v>
      </c>
      <c r="U29" s="771">
        <f>H29</f>
        <v>100</v>
      </c>
      <c r="V29" s="770" t="s">
        <v>17</v>
      </c>
      <c r="W29" s="771">
        <f>J29</f>
        <v>100</v>
      </c>
      <c r="X29" s="772"/>
      <c r="Y29" s="3850"/>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1"/>
      <c r="M30" s="1132"/>
      <c r="N30" s="1132"/>
      <c r="O30" s="1133"/>
      <c r="P30" s="3850"/>
      <c r="Q30" s="1795"/>
      <c r="R30" s="770"/>
      <c r="S30" s="771"/>
      <c r="T30" s="770"/>
      <c r="U30" s="771"/>
      <c r="V30" s="770"/>
      <c r="W30" s="771"/>
      <c r="X30" s="772"/>
      <c r="Y30" s="3850"/>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85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850"/>
      <c r="Z31" s="1814" t="str">
        <f t="shared" ref="Z31:Z45" si="13">Q31</f>
        <v>临街状况</v>
      </c>
      <c r="AA31" s="1811">
        <f t="shared" si="3"/>
        <v>1</v>
      </c>
      <c r="AB31" s="1811">
        <f t="shared" si="4"/>
        <v>1</v>
      </c>
      <c r="AC31" s="1811">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850"/>
      <c r="Q32" s="1810" t="str">
        <f t="shared" si="8"/>
        <v>毗邻道路的类型与等级</v>
      </c>
      <c r="R32" s="774" t="s">
        <v>17</v>
      </c>
      <c r="S32" s="775">
        <f t="shared" si="10"/>
        <v>100</v>
      </c>
      <c r="T32" s="774" t="s">
        <v>17</v>
      </c>
      <c r="U32" s="775">
        <f t="shared" si="11"/>
        <v>100</v>
      </c>
      <c r="V32" s="774" t="s">
        <v>17</v>
      </c>
      <c r="W32" s="775">
        <f t="shared" si="12"/>
        <v>100</v>
      </c>
      <c r="X32" s="1813"/>
      <c r="Y32" s="3850"/>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39"/>
      <c r="M33" s="1130"/>
      <c r="N33" s="1130"/>
      <c r="O33" s="1138"/>
      <c r="P33" s="3850"/>
      <c r="Q33" s="1810"/>
      <c r="R33" s="774"/>
      <c r="S33" s="775"/>
      <c r="T33" s="774"/>
      <c r="U33" s="775"/>
      <c r="V33" s="774"/>
      <c r="W33" s="775"/>
      <c r="X33" s="1813"/>
      <c r="Y33" s="3850"/>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850"/>
      <c r="Q34" s="1810" t="str">
        <f t="shared" si="8"/>
        <v>土地级别</v>
      </c>
      <c r="R34" s="774" t="s">
        <v>17</v>
      </c>
      <c r="S34" s="775">
        <f t="shared" si="10"/>
        <v>100</v>
      </c>
      <c r="T34" s="774" t="s">
        <v>17</v>
      </c>
      <c r="U34" s="775">
        <f t="shared" si="11"/>
        <v>100</v>
      </c>
      <c r="V34" s="774" t="s">
        <v>17</v>
      </c>
      <c r="W34" s="775">
        <f t="shared" si="12"/>
        <v>100</v>
      </c>
      <c r="X34" s="1813"/>
      <c r="Y34" s="3850"/>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850"/>
      <c r="Q35" s="1810">
        <f t="shared" si="8"/>
        <v>111</v>
      </c>
      <c r="R35" s="774" t="s">
        <v>17</v>
      </c>
      <c r="S35" s="775">
        <f t="shared" si="10"/>
        <v>100</v>
      </c>
      <c r="T35" s="774" t="s">
        <v>17</v>
      </c>
      <c r="U35" s="775">
        <f t="shared" si="11"/>
        <v>100</v>
      </c>
      <c r="V35" s="774" t="s">
        <v>17</v>
      </c>
      <c r="W35" s="775">
        <f t="shared" si="12"/>
        <v>100</v>
      </c>
      <c r="X35" s="1813"/>
      <c r="Y35" s="3850"/>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4029" t="s">
        <v>2566</v>
      </c>
      <c r="Q36" s="1810">
        <f t="shared" si="8"/>
        <v>111</v>
      </c>
      <c r="R36" s="774" t="s">
        <v>17</v>
      </c>
      <c r="S36" s="775">
        <f t="shared" si="10"/>
        <v>100</v>
      </c>
      <c r="T36" s="774" t="s">
        <v>17</v>
      </c>
      <c r="U36" s="775">
        <f t="shared" si="11"/>
        <v>100</v>
      </c>
      <c r="V36" s="774" t="s">
        <v>17</v>
      </c>
      <c r="W36" s="775">
        <f t="shared" si="12"/>
        <v>100</v>
      </c>
      <c r="X36" s="1813"/>
      <c r="Y36" s="3854" t="s">
        <v>2566</v>
      </c>
      <c r="Z36" s="1814">
        <f t="shared" si="13"/>
        <v>111</v>
      </c>
      <c r="AA36" s="1811">
        <f t="shared" si="3"/>
        <v>1</v>
      </c>
      <c r="AB36" s="1811">
        <f t="shared" si="4"/>
        <v>1</v>
      </c>
      <c r="AC36" s="181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854"/>
      <c r="Q37" s="1810">
        <f t="shared" si="8"/>
        <v>111</v>
      </c>
      <c r="R37" s="777" t="s">
        <v>17</v>
      </c>
      <c r="S37" s="778">
        <f t="shared" si="10"/>
        <v>100</v>
      </c>
      <c r="T37" s="777" t="s">
        <v>17</v>
      </c>
      <c r="U37" s="778">
        <f t="shared" si="11"/>
        <v>100</v>
      </c>
      <c r="V37" s="777" t="s">
        <v>17</v>
      </c>
      <c r="W37" s="778">
        <f t="shared" si="12"/>
        <v>100</v>
      </c>
      <c r="X37" s="779"/>
      <c r="Y37" s="3854"/>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854"/>
      <c r="Q38" s="1810" t="str">
        <f>B38</f>
        <v>宗地面积</v>
      </c>
      <c r="R38" s="774" t="s">
        <v>17</v>
      </c>
      <c r="S38" s="775" t="e">
        <f t="shared" si="10"/>
        <v>#N/A</v>
      </c>
      <c r="T38" s="774" t="s">
        <v>17</v>
      </c>
      <c r="U38" s="775" t="e">
        <f t="shared" si="11"/>
        <v>#N/A</v>
      </c>
      <c r="V38" s="774" t="s">
        <v>17</v>
      </c>
      <c r="W38" s="775" t="e">
        <f t="shared" si="12"/>
        <v>#N/A</v>
      </c>
      <c r="X38" s="1813"/>
      <c r="Y38" s="3854"/>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854"/>
      <c r="Q39" s="1810" t="str">
        <f t="shared" ref="Q39:Q45" si="14">B39</f>
        <v>宗地形状</v>
      </c>
      <c r="R39" s="774" t="s">
        <v>17</v>
      </c>
      <c r="S39" s="775">
        <f t="shared" si="10"/>
        <v>100</v>
      </c>
      <c r="T39" s="774" t="s">
        <v>17</v>
      </c>
      <c r="U39" s="775">
        <f t="shared" si="11"/>
        <v>100</v>
      </c>
      <c r="V39" s="774" t="s">
        <v>17</v>
      </c>
      <c r="W39" s="775">
        <f t="shared" si="12"/>
        <v>100</v>
      </c>
      <c r="X39" s="1813"/>
      <c r="Y39" s="3854"/>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854"/>
      <c r="Q40" s="1810" t="str">
        <f t="shared" si="14"/>
        <v>临街宽度及深度</v>
      </c>
      <c r="R40" s="774" t="s">
        <v>17</v>
      </c>
      <c r="S40" s="775">
        <f t="shared" si="10"/>
        <v>100</v>
      </c>
      <c r="T40" s="774" t="s">
        <v>17</v>
      </c>
      <c r="U40" s="775">
        <f t="shared" si="11"/>
        <v>100</v>
      </c>
      <c r="V40" s="774" t="s">
        <v>17</v>
      </c>
      <c r="W40" s="775">
        <f t="shared" si="12"/>
        <v>100</v>
      </c>
      <c r="X40" s="1813"/>
      <c r="Y40" s="3854"/>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1"/>
      <c r="M41" s="1132"/>
      <c r="N41" s="1132"/>
      <c r="O41" s="1133"/>
      <c r="P41" s="3854"/>
      <c r="Q41" s="1810" t="str">
        <f t="shared" si="14"/>
        <v>宗地开发程度</v>
      </c>
      <c r="R41" s="770" t="s">
        <v>17</v>
      </c>
      <c r="S41" s="771">
        <f t="shared" si="10"/>
        <v>100</v>
      </c>
      <c r="T41" s="770" t="s">
        <v>17</v>
      </c>
      <c r="U41" s="771">
        <f t="shared" si="11"/>
        <v>100</v>
      </c>
      <c r="V41" s="770" t="s">
        <v>17</v>
      </c>
      <c r="W41" s="771">
        <f t="shared" si="12"/>
        <v>100</v>
      </c>
      <c r="X41" s="772"/>
      <c r="Y41" s="3854"/>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854" t="s">
        <v>2566</v>
      </c>
      <c r="Q42" s="1810" t="str">
        <f t="shared" si="14"/>
        <v>工程地质条件</v>
      </c>
      <c r="R42" s="774" t="s">
        <v>17</v>
      </c>
      <c r="S42" s="775">
        <f t="shared" si="10"/>
        <v>100</v>
      </c>
      <c r="T42" s="774" t="s">
        <v>17</v>
      </c>
      <c r="U42" s="775">
        <f t="shared" si="11"/>
        <v>100</v>
      </c>
      <c r="V42" s="774" t="s">
        <v>17</v>
      </c>
      <c r="W42" s="775">
        <f t="shared" si="12"/>
        <v>100</v>
      </c>
      <c r="X42" s="1813"/>
      <c r="Y42" s="3854" t="s">
        <v>2566</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854"/>
      <c r="Q43" s="1810">
        <f t="shared" si="14"/>
        <v>111</v>
      </c>
      <c r="R43" s="774" t="s">
        <v>17</v>
      </c>
      <c r="S43" s="775">
        <f t="shared" si="10"/>
        <v>100</v>
      </c>
      <c r="T43" s="774" t="s">
        <v>17</v>
      </c>
      <c r="U43" s="775">
        <f t="shared" si="11"/>
        <v>100</v>
      </c>
      <c r="V43" s="774" t="s">
        <v>17</v>
      </c>
      <c r="W43" s="775">
        <f t="shared" si="12"/>
        <v>100</v>
      </c>
      <c r="X43" s="1813"/>
      <c r="Y43" s="3854"/>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854"/>
      <c r="Q44" s="1810">
        <f t="shared" si="14"/>
        <v>111</v>
      </c>
      <c r="R44" s="774" t="s">
        <v>17</v>
      </c>
      <c r="S44" s="775">
        <f t="shared" si="10"/>
        <v>100</v>
      </c>
      <c r="T44" s="774" t="s">
        <v>17</v>
      </c>
      <c r="U44" s="775">
        <f t="shared" si="11"/>
        <v>100</v>
      </c>
      <c r="V44" s="774" t="s">
        <v>17</v>
      </c>
      <c r="W44" s="775">
        <f t="shared" si="12"/>
        <v>100</v>
      </c>
      <c r="X44" s="1813"/>
      <c r="Y44" s="3854"/>
      <c r="Z44" s="1814">
        <f t="shared" si="13"/>
        <v>111</v>
      </c>
      <c r="AA44" s="1811">
        <f t="shared" si="3"/>
        <v>1</v>
      </c>
      <c r="AB44" s="1811">
        <f t="shared" si="4"/>
        <v>1</v>
      </c>
      <c r="AC44" s="1811">
        <f t="shared" si="5"/>
        <v>1</v>
      </c>
    </row>
    <row r="45" spans="1:29" s="471" customFormat="1" ht="15.75"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854"/>
      <c r="Q45" s="1810">
        <f t="shared" si="14"/>
        <v>111</v>
      </c>
      <c r="R45" s="777" t="s">
        <v>17</v>
      </c>
      <c r="S45" s="778">
        <f t="shared" si="10"/>
        <v>100</v>
      </c>
      <c r="T45" s="777" t="s">
        <v>17</v>
      </c>
      <c r="U45" s="778">
        <f t="shared" si="11"/>
        <v>100</v>
      </c>
      <c r="V45" s="777" t="s">
        <v>17</v>
      </c>
      <c r="W45" s="778">
        <f t="shared" si="12"/>
        <v>100</v>
      </c>
      <c r="X45" s="779"/>
      <c r="Y45" s="3854"/>
      <c r="Z45" s="780">
        <f t="shared" si="13"/>
        <v>111</v>
      </c>
      <c r="AA45" s="1811">
        <f t="shared" si="3"/>
        <v>1</v>
      </c>
      <c r="AB45" s="1811">
        <f t="shared" si="4"/>
        <v>1</v>
      </c>
      <c r="AC45" s="1811">
        <f t="shared" si="5"/>
        <v>1</v>
      </c>
    </row>
    <row r="46" spans="1:29" ht="15">
      <c r="A46" s="479" t="s">
        <v>2721</v>
      </c>
      <c r="B46" s="2703" t="s">
        <v>2757</v>
      </c>
      <c r="C46" s="682" t="s">
        <v>1</v>
      </c>
      <c r="D46" s="481"/>
      <c r="E46" s="482"/>
      <c r="F46" s="483"/>
      <c r="G46" s="484"/>
      <c r="H46" s="485"/>
      <c r="I46" s="482"/>
      <c r="J46" s="485"/>
      <c r="K46" s="783"/>
      <c r="L46" s="1142"/>
      <c r="M46" s="1143"/>
      <c r="N46" s="1130"/>
      <c r="O46" s="1143"/>
      <c r="P46" s="3847" t="str">
        <f>A46</f>
        <v>成交单价</v>
      </c>
      <c r="Q46" s="3847"/>
      <c r="R46" s="3878">
        <f>E46</f>
        <v>0</v>
      </c>
      <c r="S46" s="3878"/>
      <c r="T46" s="3878">
        <f>G46</f>
        <v>0</v>
      </c>
      <c r="U46" s="3878"/>
      <c r="V46" s="3878">
        <f>I46</f>
        <v>0</v>
      </c>
      <c r="W46" s="387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847" t="str">
        <f>A47</f>
        <v>比较价值（元/平方米）</v>
      </c>
      <c r="Q47" s="3847"/>
      <c r="R47" s="4030" t="e">
        <f>ROUND(PRODUCT(R46,AA7:AA45),0)</f>
        <v>#DIV/0!</v>
      </c>
      <c r="S47" s="4030"/>
      <c r="T47" s="4030" t="e">
        <f>ROUND(PRODUCT(T46,AB7:AB45),0)</f>
        <v>#DIV/0!</v>
      </c>
      <c r="U47" s="4030"/>
      <c r="V47" s="4030" t="e">
        <f>ROUND(PRODUCT(V46,AC7:AC45),0)</f>
        <v>#DIV/0!</v>
      </c>
      <c r="W47" s="403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844" t="str">
        <f>A48</f>
        <v>估价对象XX用房的比较价值（楼面单价，元/平方米）</v>
      </c>
      <c r="Q48" s="3845"/>
      <c r="R48" s="4031" t="e">
        <f>ROUND(AVERAGE(R47:V47),0)</f>
        <v>#DIV/0!</v>
      </c>
      <c r="S48" s="4031"/>
      <c r="T48" s="4031"/>
      <c r="U48" s="4031"/>
      <c r="V48" s="4031"/>
      <c r="W48" s="4031"/>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4" t="s">
        <v>2761</v>
      </c>
      <c r="D55" s="2705" t="s">
        <v>2762</v>
      </c>
      <c r="E55" s="686" t="s">
        <v>2763</v>
      </c>
      <c r="F55" s="1106" t="s">
        <v>2764</v>
      </c>
      <c r="G55" s="3862" t="s">
        <v>2765</v>
      </c>
      <c r="H55" s="4032"/>
      <c r="I55" s="144" t="s">
        <v>2766</v>
      </c>
      <c r="J55" s="2706">
        <f>项目基本情况!F35</f>
        <v>0</v>
      </c>
      <c r="K55" s="2707" t="s">
        <v>2767</v>
      </c>
      <c r="L55" s="1105"/>
      <c r="M55" s="1143"/>
      <c r="N55" s="1143"/>
      <c r="O55" s="1143"/>
    </row>
    <row r="56" spans="1:15" s="692" customFormat="1">
      <c r="A56" s="688" t="s">
        <v>2768</v>
      </c>
      <c r="B56" s="689" t="e">
        <f>C48</f>
        <v>#DIV/0!</v>
      </c>
      <c r="C56" s="690">
        <v>1</v>
      </c>
      <c r="D56" s="1162">
        <v>1</v>
      </c>
      <c r="E56" s="690">
        <f>'数据-汇总表'!E8+'数据-汇总表'!E9</f>
        <v>63815.640000000007</v>
      </c>
      <c r="F56" s="1102" t="e">
        <f t="shared" ref="F56:F65" si="15">ROUND(B56*E56/10000,0)</f>
        <v>#DIV/0!</v>
      </c>
      <c r="G56" s="3858"/>
      <c r="H56" s="3847"/>
      <c r="I56" s="1107">
        <v>1</v>
      </c>
      <c r="J56" s="1110">
        <v>1</v>
      </c>
      <c r="K56" s="1144"/>
      <c r="L56" s="940"/>
      <c r="M56" s="940"/>
      <c r="N56" s="940"/>
      <c r="O56" s="940"/>
    </row>
    <row r="57" spans="1:15" s="692" customFormat="1">
      <c r="A57" s="693" t="s">
        <v>2769</v>
      </c>
      <c r="B57" s="262" t="e">
        <f>ROUND($C$48*C57*D57,0)</f>
        <v>#DIV/0!</v>
      </c>
      <c r="C57" s="200">
        <f t="shared" ref="C57:C65" si="16">IF($C$55="北京市系数",I57,J57)</f>
        <v>0.7</v>
      </c>
      <c r="D57" s="1163">
        <v>0.25</v>
      </c>
      <c r="E57" s="694"/>
      <c r="F57" s="1102" t="e">
        <f t="shared" si="15"/>
        <v>#DIV/0!</v>
      </c>
      <c r="G57" s="4033" t="s">
        <v>2770</v>
      </c>
      <c r="H57" s="1103" t="str">
        <f>项目基本情况!B37</f>
        <v>六级</v>
      </c>
      <c r="I57" s="1107">
        <f>SUMIF(修正!A45:A56,H57,修正!B45:B56)</f>
        <v>0.7</v>
      </c>
      <c r="J57" s="1111"/>
      <c r="K57" s="1143"/>
      <c r="L57" s="940"/>
      <c r="M57" s="940"/>
      <c r="N57" s="940"/>
      <c r="O57" s="940"/>
    </row>
    <row r="58" spans="1:15" s="692" customFormat="1">
      <c r="A58" s="693" t="s">
        <v>2771</v>
      </c>
      <c r="B58" s="262" t="e">
        <f t="shared" ref="B58:B65" si="17">ROUND($C$48*C58*D58,0)</f>
        <v>#DIV/0!</v>
      </c>
      <c r="C58" s="200">
        <f t="shared" si="16"/>
        <v>0.4</v>
      </c>
      <c r="D58" s="1163">
        <v>0.25</v>
      </c>
      <c r="E58" s="694"/>
      <c r="F58" s="1102" t="e">
        <f t="shared" si="15"/>
        <v>#DIV/0!</v>
      </c>
      <c r="G58" s="4033"/>
      <c r="H58" s="1103" t="str">
        <f>项目基本情况!B37</f>
        <v>六级</v>
      </c>
      <c r="I58" s="1107">
        <f>SUMIF(修正!A45:A56,H58,修正!C45:C56)</f>
        <v>0.4</v>
      </c>
      <c r="J58" s="1111"/>
      <c r="K58" s="1144"/>
      <c r="L58" s="940"/>
      <c r="M58" s="940"/>
      <c r="N58" s="940"/>
      <c r="O58" s="940"/>
    </row>
    <row r="59" spans="1:15" s="692" customFormat="1">
      <c r="A59" s="693" t="s">
        <v>2772</v>
      </c>
      <c r="B59" s="262" t="e">
        <f t="shared" si="17"/>
        <v>#DIV/0!</v>
      </c>
      <c r="C59" s="200">
        <f t="shared" si="16"/>
        <v>0.28000000000000003</v>
      </c>
      <c r="D59" s="1163">
        <v>0.25</v>
      </c>
      <c r="E59" s="694"/>
      <c r="F59" s="1102" t="e">
        <f t="shared" si="15"/>
        <v>#DIV/0!</v>
      </c>
      <c r="G59" s="4033"/>
      <c r="H59" s="1103" t="str">
        <f>项目基本情况!B37</f>
        <v>六级</v>
      </c>
      <c r="I59" s="1107">
        <f>SUMIF(修正!A45:A56,H59,修正!D45:D56)</f>
        <v>0.28000000000000003</v>
      </c>
      <c r="J59" s="1111"/>
      <c r="K59" s="1143"/>
      <c r="L59" s="940"/>
      <c r="M59" s="940"/>
      <c r="N59" s="940"/>
      <c r="O59" s="940"/>
    </row>
    <row r="60" spans="1:15" s="692" customFormat="1">
      <c r="A60" s="693" t="s">
        <v>2773</v>
      </c>
      <c r="B60" s="262" t="e">
        <f t="shared" si="17"/>
        <v>#DIV/0!</v>
      </c>
      <c r="C60" s="200">
        <f t="shared" si="16"/>
        <v>0.25</v>
      </c>
      <c r="D60" s="1163">
        <v>0.25</v>
      </c>
      <c r="E60" s="694"/>
      <c r="F60" s="1102" t="e">
        <f t="shared" si="15"/>
        <v>#DIV/0!</v>
      </c>
      <c r="G60" s="4033"/>
      <c r="H60" s="1103" t="str">
        <f>项目基本情况!B37</f>
        <v>六级</v>
      </c>
      <c r="I60" s="1107">
        <f>SUMIF(修正!A45:A56,H60,修正!E45:E56)</f>
        <v>0.25</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8" t="s">
        <v>2775</v>
      </c>
      <c r="H61" s="1103" t="str">
        <f>项目基本情况!C37</f>
        <v>六级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2344.4799999999996</v>
      </c>
      <c r="F62" s="1102" t="e">
        <f t="shared" si="15"/>
        <v>#DIV/0!</v>
      </c>
      <c r="G62" s="1108" t="s">
        <v>2777</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2" customFormat="1">
      <c r="A63" s="693" t="s">
        <v>2778</v>
      </c>
      <c r="B63" s="262" t="e">
        <f t="shared" si="17"/>
        <v>#DIV/0!</v>
      </c>
      <c r="C63" s="200">
        <f t="shared" si="16"/>
        <v>0.2</v>
      </c>
      <c r="D63" s="1163">
        <v>0.25</v>
      </c>
      <c r="E63" s="261">
        <f>'数据-汇总表'!E13</f>
        <v>0</v>
      </c>
      <c r="F63" s="1102" t="e">
        <f t="shared" si="15"/>
        <v>#DIV/0!</v>
      </c>
      <c r="G63" s="1108" t="s">
        <v>2779</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2780</v>
      </c>
      <c r="B64" s="262" t="e">
        <f t="shared" si="17"/>
        <v>#DIV/0!</v>
      </c>
      <c r="C64" s="200">
        <f t="shared" si="16"/>
        <v>0.2</v>
      </c>
      <c r="D64" s="1163">
        <v>0.25</v>
      </c>
      <c r="E64" s="261">
        <f>'数据-汇总表'!E14</f>
        <v>0</v>
      </c>
      <c r="F64" s="1102" t="e">
        <f t="shared" si="15"/>
        <v>#DIV/0!</v>
      </c>
      <c r="G64" s="2708" t="s">
        <v>2770</v>
      </c>
      <c r="H64" s="1103" t="str">
        <f>项目基本情况!B37</f>
        <v>六级</v>
      </c>
      <c r="I64" s="1107">
        <f>SUMIF(修正!A45:A56,H64,修正!H45:H56)</f>
        <v>0.2</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9" t="s">
        <v>2775</v>
      </c>
      <c r="H65" s="1113" t="str">
        <f>项目基本情况!C37</f>
        <v>六级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66160.12000000001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0" t="s">
        <v>2783</v>
      </c>
      <c r="B70" s="1358"/>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"北京市平均增长率"&amp;TEXT(SUMIF(基准地价修正办公!N21:N25,A71,基准地价修正办公!P21:P25),"0.00%")</f>
        <v>北京市平均增长率2.78%</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4034" t="s">
        <v>2798</v>
      </c>
      <c r="D6" s="4035"/>
      <c r="E6" s="4036" t="s">
        <v>2798</v>
      </c>
      <c r="F6" s="4037"/>
      <c r="G6" s="4034" t="s">
        <v>2798</v>
      </c>
      <c r="H6" s="4035"/>
      <c r="I6" s="4034" t="s">
        <v>2798</v>
      </c>
      <c r="J6" s="4035"/>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0" si="3">D8/F8</f>
        <v>#DIV/0!</v>
      </c>
      <c r="AB8" s="773" t="e">
        <f t="shared" ref="AB8:AB40" si="4">D8/H8</f>
        <v>#DIV/0!</v>
      </c>
      <c r="AC8" s="773"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847"/>
      <c r="Q10" s="1795" t="str">
        <f t="shared" si="6"/>
        <v>土地使用年限（年）</v>
      </c>
      <c r="R10" s="770" t="s">
        <v>17</v>
      </c>
      <c r="S10" s="771">
        <f t="shared" si="0"/>
        <v>106</v>
      </c>
      <c r="T10" s="770" t="s">
        <v>17</v>
      </c>
      <c r="U10" s="771">
        <f t="shared" si="1"/>
        <v>106</v>
      </c>
      <c r="V10" s="770" t="s">
        <v>17</v>
      </c>
      <c r="W10" s="771">
        <f t="shared" si="2"/>
        <v>106</v>
      </c>
      <c r="X10" s="772"/>
      <c r="Y10" s="3702"/>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57">
      <c r="A15" s="440" t="s">
        <v>2560</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849" t="s">
        <v>2561</v>
      </c>
      <c r="Q15" s="1810" t="str">
        <f t="shared" si="6"/>
        <v>产业集聚程度</v>
      </c>
      <c r="R15" s="774" t="s">
        <v>17</v>
      </c>
      <c r="S15" s="775">
        <f t="shared" si="0"/>
        <v>100</v>
      </c>
      <c r="T15" s="774" t="s">
        <v>17</v>
      </c>
      <c r="U15" s="775">
        <f t="shared" si="1"/>
        <v>100</v>
      </c>
      <c r="V15" s="774" t="s">
        <v>17</v>
      </c>
      <c r="W15" s="775">
        <f t="shared" si="2"/>
        <v>100</v>
      </c>
      <c r="X15" s="1813"/>
      <c r="Y15" s="3849" t="s">
        <v>2561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39"/>
      <c r="M16" s="1130"/>
      <c r="N16" s="1130"/>
      <c r="O16" s="1138"/>
      <c r="P16" s="3850"/>
      <c r="Q16" s="1810"/>
      <c r="R16" s="774"/>
      <c r="S16" s="775"/>
      <c r="T16" s="774"/>
      <c r="U16" s="775"/>
      <c r="V16" s="774"/>
      <c r="W16" s="775"/>
      <c r="X16" s="1813"/>
      <c r="Y16" s="3850"/>
      <c r="Z16" s="1814"/>
      <c r="AA16" s="1811">
        <v>1</v>
      </c>
      <c r="AB16" s="1811">
        <v>1</v>
      </c>
      <c r="AC16" s="1811">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850"/>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39"/>
      <c r="M18" s="1130"/>
      <c r="N18" s="1130"/>
      <c r="O18" s="1138"/>
      <c r="P18" s="3850"/>
      <c r="Q18" s="1810"/>
      <c r="R18" s="774"/>
      <c r="S18" s="775"/>
      <c r="T18" s="774"/>
      <c r="U18" s="775"/>
      <c r="V18" s="774"/>
      <c r="W18" s="775"/>
      <c r="X18" s="1813"/>
      <c r="Y18" s="3850"/>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850"/>
      <c r="Q19" s="1810" t="str">
        <f t="shared" ref="Q19:Q33" si="8">B19</f>
        <v>区域土地利用方向</v>
      </c>
      <c r="R19" s="774" t="s">
        <v>17</v>
      </c>
      <c r="S19" s="775">
        <f>F19</f>
        <v>100</v>
      </c>
      <c r="T19" s="774" t="s">
        <v>17</v>
      </c>
      <c r="U19" s="775">
        <f>H19</f>
        <v>100</v>
      </c>
      <c r="V19" s="774" t="s">
        <v>17</v>
      </c>
      <c r="W19" s="775">
        <f>J19</f>
        <v>100</v>
      </c>
      <c r="X19" s="1813"/>
      <c r="Y19" s="3850"/>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8"/>
      <c r="L20" s="1139"/>
      <c r="M20" s="1130"/>
      <c r="N20" s="1130"/>
      <c r="O20" s="1138"/>
      <c r="P20" s="3850"/>
      <c r="Q20" s="1810"/>
      <c r="R20" s="774"/>
      <c r="S20" s="775"/>
      <c r="T20" s="774"/>
      <c r="U20" s="775"/>
      <c r="V20" s="774"/>
      <c r="W20" s="775"/>
      <c r="X20" s="1813"/>
      <c r="Y20" s="3850"/>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850"/>
      <c r="Q21" s="1810" t="str">
        <f t="shared" si="8"/>
        <v>环境状况</v>
      </c>
      <c r="R21" s="774" t="s">
        <v>17</v>
      </c>
      <c r="S21" s="775">
        <f>F21</f>
        <v>100</v>
      </c>
      <c r="T21" s="774" t="s">
        <v>17</v>
      </c>
      <c r="U21" s="775">
        <f>H21</f>
        <v>100</v>
      </c>
      <c r="V21" s="774" t="s">
        <v>17</v>
      </c>
      <c r="W21" s="775">
        <f>J21</f>
        <v>100</v>
      </c>
      <c r="X21" s="1813"/>
      <c r="Y21" s="3850"/>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39"/>
      <c r="M22" s="1130"/>
      <c r="N22" s="1130"/>
      <c r="O22" s="1138"/>
      <c r="P22" s="3850"/>
      <c r="Q22" s="1810"/>
      <c r="R22" s="774"/>
      <c r="S22" s="775"/>
      <c r="T22" s="774"/>
      <c r="U22" s="775"/>
      <c r="V22" s="774"/>
      <c r="W22" s="775"/>
      <c r="X22" s="1813"/>
      <c r="Y22" s="3850"/>
      <c r="Z22" s="1814"/>
      <c r="AA22" s="1811">
        <v>1</v>
      </c>
      <c r="AB22" s="1811">
        <v>1</v>
      </c>
      <c r="AC22" s="1811">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850"/>
      <c r="Q23" s="1795" t="str">
        <f t="shared" si="8"/>
        <v>公共配套设施</v>
      </c>
      <c r="R23" s="770" t="s">
        <v>17</v>
      </c>
      <c r="S23" s="771">
        <f>F23</f>
        <v>100</v>
      </c>
      <c r="T23" s="770" t="s">
        <v>17</v>
      </c>
      <c r="U23" s="771">
        <f>H23</f>
        <v>100</v>
      </c>
      <c r="V23" s="770" t="s">
        <v>17</v>
      </c>
      <c r="W23" s="771">
        <f>J23</f>
        <v>100</v>
      </c>
      <c r="X23" s="772"/>
      <c r="Y23" s="3850"/>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1"/>
      <c r="M24" s="1132"/>
      <c r="N24" s="1132"/>
      <c r="O24" s="1133"/>
      <c r="P24" s="3850"/>
      <c r="Q24" s="1795"/>
      <c r="R24" s="770"/>
      <c r="S24" s="771"/>
      <c r="T24" s="770"/>
      <c r="U24" s="771"/>
      <c r="V24" s="770"/>
      <c r="W24" s="771"/>
      <c r="X24" s="772"/>
      <c r="Y24" s="3850"/>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850"/>
      <c r="Q25" s="1795" t="str">
        <f t="shared" ref="Q25" si="9">B25</f>
        <v>基础设施水平</v>
      </c>
      <c r="R25" s="770" t="s">
        <v>17</v>
      </c>
      <c r="S25" s="771">
        <f>F25</f>
        <v>100</v>
      </c>
      <c r="T25" s="770" t="s">
        <v>17</v>
      </c>
      <c r="U25" s="771">
        <f>H25</f>
        <v>100</v>
      </c>
      <c r="V25" s="770" t="s">
        <v>17</v>
      </c>
      <c r="W25" s="771">
        <f>J25</f>
        <v>100</v>
      </c>
      <c r="X25" s="772"/>
      <c r="Y25" s="3850"/>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1"/>
      <c r="M26" s="1132"/>
      <c r="N26" s="1132"/>
      <c r="O26" s="1133"/>
      <c r="P26" s="3850"/>
      <c r="Q26" s="1795"/>
      <c r="R26" s="770"/>
      <c r="S26" s="771"/>
      <c r="T26" s="770"/>
      <c r="U26" s="771"/>
      <c r="V26" s="770"/>
      <c r="W26" s="771"/>
      <c r="X26" s="772"/>
      <c r="Y26" s="385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85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850"/>
      <c r="Z27" s="1814" t="str">
        <f t="shared" ref="Z27:Z40" si="13">Q27</f>
        <v>临街状况</v>
      </c>
      <c r="AA27" s="1811">
        <f t="shared" si="3"/>
        <v>1</v>
      </c>
      <c r="AB27" s="1811">
        <f t="shared" si="4"/>
        <v>1</v>
      </c>
      <c r="AC27" s="1811">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850"/>
      <c r="Q28" s="1810" t="str">
        <f t="shared" si="8"/>
        <v>毗邻道路的类型与等级</v>
      </c>
      <c r="R28" s="774" t="s">
        <v>17</v>
      </c>
      <c r="S28" s="775">
        <f t="shared" si="10"/>
        <v>100</v>
      </c>
      <c r="T28" s="774" t="s">
        <v>17</v>
      </c>
      <c r="U28" s="775">
        <f t="shared" si="11"/>
        <v>100</v>
      </c>
      <c r="V28" s="774" t="s">
        <v>17</v>
      </c>
      <c r="W28" s="775">
        <f t="shared" si="12"/>
        <v>100</v>
      </c>
      <c r="X28" s="1813"/>
      <c r="Y28" s="3850"/>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39"/>
      <c r="M29" s="1130"/>
      <c r="N29" s="1130"/>
      <c r="O29" s="1138"/>
      <c r="P29" s="3850"/>
      <c r="Q29" s="1810"/>
      <c r="R29" s="774"/>
      <c r="S29" s="775"/>
      <c r="T29" s="774"/>
      <c r="U29" s="775"/>
      <c r="V29" s="774"/>
      <c r="W29" s="775"/>
      <c r="X29" s="1813"/>
      <c r="Y29" s="3850"/>
      <c r="Z29" s="1814"/>
      <c r="AA29" s="1811">
        <v>1</v>
      </c>
      <c r="AB29" s="1811">
        <v>1</v>
      </c>
      <c r="AC29" s="1811">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850"/>
      <c r="Q30" s="1810" t="str">
        <f t="shared" si="8"/>
        <v>土地级别</v>
      </c>
      <c r="R30" s="774" t="s">
        <v>17</v>
      </c>
      <c r="S30" s="775">
        <f t="shared" si="10"/>
        <v>100</v>
      </c>
      <c r="T30" s="774" t="s">
        <v>17</v>
      </c>
      <c r="U30" s="775">
        <f t="shared" si="11"/>
        <v>100</v>
      </c>
      <c r="V30" s="774" t="s">
        <v>17</v>
      </c>
      <c r="W30" s="775">
        <f t="shared" si="12"/>
        <v>100</v>
      </c>
      <c r="X30" s="1813"/>
      <c r="Y30" s="3850"/>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850"/>
      <c r="Q31" s="1810">
        <f t="shared" si="8"/>
        <v>111</v>
      </c>
      <c r="R31" s="774" t="s">
        <v>17</v>
      </c>
      <c r="S31" s="775">
        <f t="shared" si="10"/>
        <v>100</v>
      </c>
      <c r="T31" s="774" t="s">
        <v>17</v>
      </c>
      <c r="U31" s="775">
        <f t="shared" si="11"/>
        <v>100</v>
      </c>
      <c r="V31" s="774" t="s">
        <v>17</v>
      </c>
      <c r="W31" s="775">
        <f t="shared" si="12"/>
        <v>100</v>
      </c>
      <c r="X31" s="1813"/>
      <c r="Y31" s="3850"/>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4029" t="s">
        <v>2566</v>
      </c>
      <c r="Q32" s="1810">
        <f t="shared" si="8"/>
        <v>111</v>
      </c>
      <c r="R32" s="774" t="s">
        <v>17</v>
      </c>
      <c r="S32" s="775">
        <f t="shared" si="10"/>
        <v>100</v>
      </c>
      <c r="T32" s="774" t="s">
        <v>17</v>
      </c>
      <c r="U32" s="775">
        <f t="shared" si="11"/>
        <v>100</v>
      </c>
      <c r="V32" s="774" t="s">
        <v>17</v>
      </c>
      <c r="W32" s="775">
        <f t="shared" si="12"/>
        <v>100</v>
      </c>
      <c r="X32" s="1813"/>
      <c r="Y32" s="3854" t="s">
        <v>2566</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854"/>
      <c r="Q33" s="1810">
        <f t="shared" si="8"/>
        <v>111</v>
      </c>
      <c r="R33" s="777" t="s">
        <v>17</v>
      </c>
      <c r="S33" s="778">
        <f t="shared" si="10"/>
        <v>100</v>
      </c>
      <c r="T33" s="777" t="s">
        <v>17</v>
      </c>
      <c r="U33" s="778">
        <f t="shared" si="11"/>
        <v>100</v>
      </c>
      <c r="V33" s="777" t="s">
        <v>17</v>
      </c>
      <c r="W33" s="778">
        <f t="shared" si="12"/>
        <v>100</v>
      </c>
      <c r="X33" s="779"/>
      <c r="Y33" s="3854"/>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854"/>
      <c r="Q34" s="1810" t="str">
        <f>B34</f>
        <v>宗地面积</v>
      </c>
      <c r="R34" s="774" t="s">
        <v>17</v>
      </c>
      <c r="S34" s="775" t="e">
        <f t="shared" si="10"/>
        <v>#N/A</v>
      </c>
      <c r="T34" s="774" t="s">
        <v>17</v>
      </c>
      <c r="U34" s="775" t="e">
        <f t="shared" si="11"/>
        <v>#N/A</v>
      </c>
      <c r="V34" s="774" t="s">
        <v>17</v>
      </c>
      <c r="W34" s="775" t="e">
        <f t="shared" si="12"/>
        <v>#N/A</v>
      </c>
      <c r="X34" s="1813"/>
      <c r="Y34" s="3854"/>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854"/>
      <c r="Q35" s="1810" t="str">
        <f t="shared" ref="Q35:Q40" si="14">B35</f>
        <v>宗地形状</v>
      </c>
      <c r="R35" s="774" t="s">
        <v>17</v>
      </c>
      <c r="S35" s="775">
        <f t="shared" si="10"/>
        <v>100</v>
      </c>
      <c r="T35" s="774" t="s">
        <v>17</v>
      </c>
      <c r="U35" s="775">
        <f t="shared" si="11"/>
        <v>100</v>
      </c>
      <c r="V35" s="774" t="s">
        <v>17</v>
      </c>
      <c r="W35" s="775">
        <f t="shared" si="12"/>
        <v>100</v>
      </c>
      <c r="X35" s="1813"/>
      <c r="Y35" s="3854"/>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854"/>
      <c r="Q36" s="1810" t="str">
        <f t="shared" si="14"/>
        <v>宗地开发程度</v>
      </c>
      <c r="R36" s="770" t="s">
        <v>17</v>
      </c>
      <c r="S36" s="771">
        <f t="shared" si="10"/>
        <v>100</v>
      </c>
      <c r="T36" s="770" t="s">
        <v>17</v>
      </c>
      <c r="U36" s="771">
        <f t="shared" si="11"/>
        <v>100</v>
      </c>
      <c r="V36" s="770" t="s">
        <v>17</v>
      </c>
      <c r="W36" s="771">
        <f t="shared" si="12"/>
        <v>100</v>
      </c>
      <c r="X36" s="772"/>
      <c r="Y36" s="3854"/>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854" t="s">
        <v>2566</v>
      </c>
      <c r="Q37" s="1810" t="str">
        <f t="shared" si="14"/>
        <v>工程地质条件</v>
      </c>
      <c r="R37" s="774" t="s">
        <v>17</v>
      </c>
      <c r="S37" s="775">
        <f t="shared" si="10"/>
        <v>100</v>
      </c>
      <c r="T37" s="774" t="s">
        <v>17</v>
      </c>
      <c r="U37" s="775">
        <f t="shared" si="11"/>
        <v>100</v>
      </c>
      <c r="V37" s="774" t="s">
        <v>17</v>
      </c>
      <c r="W37" s="775">
        <f t="shared" si="12"/>
        <v>100</v>
      </c>
      <c r="X37" s="1813"/>
      <c r="Y37" s="3854" t="s">
        <v>2566</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854"/>
      <c r="Q38" s="1810">
        <f t="shared" si="14"/>
        <v>111</v>
      </c>
      <c r="R38" s="774" t="s">
        <v>17</v>
      </c>
      <c r="S38" s="775">
        <f t="shared" si="10"/>
        <v>100</v>
      </c>
      <c r="T38" s="774" t="s">
        <v>17</v>
      </c>
      <c r="U38" s="775">
        <f t="shared" si="11"/>
        <v>100</v>
      </c>
      <c r="V38" s="774" t="s">
        <v>17</v>
      </c>
      <c r="W38" s="775">
        <f t="shared" si="12"/>
        <v>100</v>
      </c>
      <c r="X38" s="1813"/>
      <c r="Y38" s="3854"/>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854"/>
      <c r="Q39" s="1810">
        <f t="shared" si="14"/>
        <v>111</v>
      </c>
      <c r="R39" s="774" t="s">
        <v>17</v>
      </c>
      <c r="S39" s="775">
        <f t="shared" si="10"/>
        <v>100</v>
      </c>
      <c r="T39" s="774" t="s">
        <v>17</v>
      </c>
      <c r="U39" s="775">
        <f t="shared" si="11"/>
        <v>100</v>
      </c>
      <c r="V39" s="774" t="s">
        <v>17</v>
      </c>
      <c r="W39" s="775">
        <f t="shared" si="12"/>
        <v>100</v>
      </c>
      <c r="X39" s="1813"/>
      <c r="Y39" s="3854"/>
      <c r="Z39" s="1814">
        <f t="shared" si="13"/>
        <v>111</v>
      </c>
      <c r="AA39" s="1811">
        <f t="shared" si="3"/>
        <v>1</v>
      </c>
      <c r="AB39" s="1811">
        <f t="shared" si="4"/>
        <v>1</v>
      </c>
      <c r="AC39" s="1811">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854"/>
      <c r="Q40" s="1810">
        <f t="shared" si="14"/>
        <v>111</v>
      </c>
      <c r="R40" s="777" t="s">
        <v>17</v>
      </c>
      <c r="S40" s="778">
        <f t="shared" si="10"/>
        <v>100</v>
      </c>
      <c r="T40" s="777" t="s">
        <v>17</v>
      </c>
      <c r="U40" s="778">
        <f t="shared" si="11"/>
        <v>100</v>
      </c>
      <c r="V40" s="777" t="s">
        <v>17</v>
      </c>
      <c r="W40" s="778">
        <f t="shared" si="12"/>
        <v>100</v>
      </c>
      <c r="X40" s="779"/>
      <c r="Y40" s="3854"/>
      <c r="Z40" s="780">
        <f t="shared" si="13"/>
        <v>111</v>
      </c>
      <c r="AA40" s="1811">
        <f t="shared" si="3"/>
        <v>1</v>
      </c>
      <c r="AB40" s="1811">
        <f t="shared" si="4"/>
        <v>1</v>
      </c>
      <c r="AC40" s="1811">
        <f t="shared" si="5"/>
        <v>1</v>
      </c>
    </row>
    <row r="41" spans="1:29" ht="15">
      <c r="A41" s="479" t="s">
        <v>2721</v>
      </c>
      <c r="B41" s="2703" t="s">
        <v>2801</v>
      </c>
      <c r="C41" s="682" t="s">
        <v>1</v>
      </c>
      <c r="D41" s="481"/>
      <c r="E41" s="482"/>
      <c r="F41" s="483"/>
      <c r="G41" s="484"/>
      <c r="H41" s="485"/>
      <c r="I41" s="482"/>
      <c r="J41" s="485"/>
      <c r="K41" s="783"/>
      <c r="L41" s="1142"/>
      <c r="M41" s="1130"/>
      <c r="N41" s="1130"/>
      <c r="O41" s="1143"/>
      <c r="P41" s="3847" t="str">
        <f>A41</f>
        <v>成交单价</v>
      </c>
      <c r="Q41" s="3847"/>
      <c r="R41" s="3878">
        <f>E41</f>
        <v>0</v>
      </c>
      <c r="S41" s="3878"/>
      <c r="T41" s="3878">
        <f>G41</f>
        <v>0</v>
      </c>
      <c r="U41" s="3878"/>
      <c r="V41" s="3878">
        <f>I41</f>
        <v>0</v>
      </c>
      <c r="W41" s="387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847" t="str">
        <f>A42</f>
        <v>比较价值（元/平方米）</v>
      </c>
      <c r="Q42" s="3847"/>
      <c r="R42" s="4030" t="e">
        <f>ROUND(PRODUCT(R41,AA7:AA40),0)</f>
        <v>#DIV/0!</v>
      </c>
      <c r="S42" s="4030"/>
      <c r="T42" s="4030" t="e">
        <f>ROUND(PRODUCT(T41,AB7:AB40),0)</f>
        <v>#DIV/0!</v>
      </c>
      <c r="U42" s="4030"/>
      <c r="V42" s="4030" t="e">
        <f>ROUND(PRODUCT(V41,AC7:AC40),0)</f>
        <v>#DIV/0!</v>
      </c>
      <c r="W42" s="403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844" t="str">
        <f>A43</f>
        <v>估价对象XX用房的比较价值（楼面单价，元/平方米）</v>
      </c>
      <c r="Q43" s="3845"/>
      <c r="R43" s="4031" t="e">
        <f>ROUND(AVERAGE(R42:V42),0)</f>
        <v>#DIV/0!</v>
      </c>
      <c r="S43" s="4031"/>
      <c r="T43" s="4031"/>
      <c r="U43" s="4031"/>
      <c r="V43" s="4031"/>
      <c r="W43" s="4031"/>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4" t="s">
        <v>2761</v>
      </c>
      <c r="D50" s="2705" t="s">
        <v>2762</v>
      </c>
      <c r="E50" s="686" t="s">
        <v>2763</v>
      </c>
      <c r="F50" s="687" t="s">
        <v>2764</v>
      </c>
      <c r="G50" s="3862" t="s">
        <v>2765</v>
      </c>
      <c r="H50" s="4032"/>
      <c r="I50" s="1814" t="s">
        <v>2802</v>
      </c>
      <c r="J50" s="1814">
        <f>项目基本情况!F35</f>
        <v>0</v>
      </c>
      <c r="K50" s="2707" t="s">
        <v>2767</v>
      </c>
      <c r="L50" s="1105"/>
      <c r="M50" s="1143"/>
      <c r="N50" s="1143"/>
      <c r="O50" s="1143"/>
    </row>
    <row r="51" spans="1:17" s="692" customFormat="1">
      <c r="A51" s="688" t="s">
        <v>2768</v>
      </c>
      <c r="B51" s="689" t="e">
        <f>C43</f>
        <v>#DIV/0!</v>
      </c>
      <c r="C51" s="690">
        <v>1</v>
      </c>
      <c r="D51" s="1162">
        <v>1</v>
      </c>
      <c r="E51" s="690">
        <f>'数据-汇总表'!E8+'数据-汇总表'!E9</f>
        <v>63815.640000000007</v>
      </c>
      <c r="F51" s="691" t="e">
        <f t="shared" ref="F51:F60" si="15">ROUND(B51*E51/10000,0)</f>
        <v>#DIV/0!</v>
      </c>
      <c r="G51" s="3858"/>
      <c r="H51" s="3847"/>
      <c r="I51" s="941">
        <v>1</v>
      </c>
      <c r="J51" s="941">
        <v>1</v>
      </c>
      <c r="K51" s="1144"/>
      <c r="L51" s="940"/>
      <c r="M51" s="940"/>
      <c r="N51" s="940"/>
      <c r="O51" s="940"/>
    </row>
    <row r="52" spans="1:17" s="692" customFormat="1">
      <c r="A52" s="693" t="s">
        <v>2769</v>
      </c>
      <c r="B52" s="262" t="e">
        <f>ROUND($C$43*C52*D52,0)</f>
        <v>#DIV/0!</v>
      </c>
      <c r="C52" s="200">
        <f t="shared" ref="C52:C60" si="16">IF($C$50="北京市系数",I52,J52)</f>
        <v>0.7</v>
      </c>
      <c r="D52" s="1163">
        <v>0.25</v>
      </c>
      <c r="E52" s="694"/>
      <c r="F52" s="691" t="e">
        <f t="shared" si="15"/>
        <v>#DIV/0!</v>
      </c>
      <c r="G52" s="4033" t="s">
        <v>2770</v>
      </c>
      <c r="H52" s="1103" t="str">
        <f>项目基本情况!B37</f>
        <v>六级</v>
      </c>
      <c r="I52" s="941">
        <f>SUMIF(修正!A45:A56,H52,修正!B45:B56)</f>
        <v>0.7</v>
      </c>
      <c r="J52" s="942"/>
      <c r="K52" s="1143"/>
      <c r="L52" s="940"/>
      <c r="M52" s="940"/>
      <c r="N52" s="940"/>
      <c r="O52" s="940"/>
    </row>
    <row r="53" spans="1:17" s="692" customFormat="1">
      <c r="A53" s="693" t="s">
        <v>2771</v>
      </c>
      <c r="B53" s="262" t="e">
        <f t="shared" ref="B53:B60" si="17">ROUND($C$43*C53*D53,0)</f>
        <v>#DIV/0!</v>
      </c>
      <c r="C53" s="200">
        <f t="shared" si="16"/>
        <v>0.4</v>
      </c>
      <c r="D53" s="1163">
        <v>0.25</v>
      </c>
      <c r="E53" s="694"/>
      <c r="F53" s="691" t="e">
        <f t="shared" si="15"/>
        <v>#DIV/0!</v>
      </c>
      <c r="G53" s="4033"/>
      <c r="H53" s="1103" t="str">
        <f>项目基本情况!B37</f>
        <v>六级</v>
      </c>
      <c r="I53" s="941">
        <f>SUMIF(修正!A45:A56,H53,修正!C45:C56)</f>
        <v>0.4</v>
      </c>
      <c r="J53" s="942"/>
      <c r="K53" s="1144"/>
      <c r="L53" s="940"/>
      <c r="M53" s="940"/>
      <c r="N53" s="940"/>
      <c r="O53" s="940"/>
    </row>
    <row r="54" spans="1:17" s="692" customFormat="1">
      <c r="A54" s="693" t="s">
        <v>2772</v>
      </c>
      <c r="B54" s="262" t="e">
        <f t="shared" si="17"/>
        <v>#DIV/0!</v>
      </c>
      <c r="C54" s="200">
        <f t="shared" si="16"/>
        <v>0.28000000000000003</v>
      </c>
      <c r="D54" s="1163">
        <v>0.25</v>
      </c>
      <c r="E54" s="694"/>
      <c r="F54" s="691" t="e">
        <f t="shared" si="15"/>
        <v>#DIV/0!</v>
      </c>
      <c r="G54" s="4033"/>
      <c r="H54" s="1103" t="str">
        <f>项目基本情况!B37</f>
        <v>六级</v>
      </c>
      <c r="I54" s="941">
        <f>SUMIF(修正!A45:A56,H54,修正!D45:D56)</f>
        <v>0.28000000000000003</v>
      </c>
      <c r="J54" s="942"/>
      <c r="K54" s="1143"/>
      <c r="L54" s="940"/>
      <c r="M54" s="940"/>
      <c r="N54" s="940"/>
      <c r="O54" s="940"/>
    </row>
    <row r="55" spans="1:17" s="692" customFormat="1">
      <c r="A55" s="693" t="s">
        <v>2773</v>
      </c>
      <c r="B55" s="262" t="e">
        <f t="shared" si="17"/>
        <v>#DIV/0!</v>
      </c>
      <c r="C55" s="200">
        <f t="shared" si="16"/>
        <v>0.25</v>
      </c>
      <c r="D55" s="1163">
        <v>0.25</v>
      </c>
      <c r="E55" s="694"/>
      <c r="F55" s="691" t="e">
        <f t="shared" si="15"/>
        <v>#DIV/0!</v>
      </c>
      <c r="G55" s="4033"/>
      <c r="H55" s="1103" t="str">
        <f>项目基本情况!B37</f>
        <v>六级</v>
      </c>
      <c r="I55" s="941">
        <f>SUMIF(修正!A45:A56,H55,修正!E45:E56)</f>
        <v>0.25</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8" t="s">
        <v>2775</v>
      </c>
      <c r="H56" s="1103" t="str">
        <f>项目基本情况!C37</f>
        <v>六级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2344.4799999999996</v>
      </c>
      <c r="F57" s="691" t="e">
        <f t="shared" si="15"/>
        <v>#DIV/0!</v>
      </c>
      <c r="G57" s="1108" t="s">
        <v>2777</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2" customFormat="1">
      <c r="A58" s="693" t="s">
        <v>2778</v>
      </c>
      <c r="B58" s="262" t="e">
        <f t="shared" si="17"/>
        <v>#DIV/0!</v>
      </c>
      <c r="C58" s="200">
        <f t="shared" si="16"/>
        <v>0.2</v>
      </c>
      <c r="D58" s="1163">
        <v>0.25</v>
      </c>
      <c r="E58" s="261">
        <f>'数据-汇总表'!E13</f>
        <v>0</v>
      </c>
      <c r="F58" s="691" t="e">
        <f t="shared" si="15"/>
        <v>#DIV/0!</v>
      </c>
      <c r="G58" s="1108" t="s">
        <v>2779</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2780</v>
      </c>
      <c r="B59" s="262" t="e">
        <f t="shared" si="17"/>
        <v>#DIV/0!</v>
      </c>
      <c r="C59" s="200">
        <f t="shared" si="16"/>
        <v>0.2</v>
      </c>
      <c r="D59" s="1163">
        <v>0.25</v>
      </c>
      <c r="E59" s="261">
        <f>'数据-汇总表'!E14</f>
        <v>0</v>
      </c>
      <c r="F59" s="691" t="e">
        <f t="shared" si="15"/>
        <v>#DIV/0!</v>
      </c>
      <c r="G59" s="2708" t="s">
        <v>2770</v>
      </c>
      <c r="H59" s="1103" t="str">
        <f>项目基本情况!B37</f>
        <v>六级</v>
      </c>
      <c r="I59" s="941">
        <f>SUMIF(修正!A45:A56,H59,修正!H45:H56)</f>
        <v>0.2</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9" t="s">
        <v>2775</v>
      </c>
      <c r="H60" s="1113" t="str">
        <f>项目基本情况!C37</f>
        <v>六级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15080.97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0" t="s">
        <v>2783</v>
      </c>
      <c r="B65" s="1358"/>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"北京市平均增长率"&amp;TEXT(基准地价修正办公!P24,"0.00%")</f>
        <v>北京市平均增长率1.39%</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71" workbookViewId="0">
      <selection activeCell="C180" sqref="C180:C204"/>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SUMPRODUCT((A105:A204=ROUNDDOWN(基准地价修正办公!G3,1))*(B104:M104=基准地价修正办公!G2)*(B105:M204))</f>
        <v>0.83160000000000001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0</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t="e">
        <f ca="1">SUMIF(INDIRECT("'"&amp;A6&amp;"'"&amp;"!A:A"),"总价",INDIRECT("'"&amp;A6&amp;"'"&amp;"!B:B"))</f>
        <v>#REF!</v>
      </c>
      <c r="C6" s="2909" t="s">
        <v>2996</v>
      </c>
      <c r="D6" s="2911"/>
      <c r="E6" s="2574" t="e">
        <f ca="1">SUMIF(INDIRECT("'"&amp;A6&amp;"'"&amp;"!C:C"),"建筑面积",INDIRECT("'"&amp;A6&amp;"'"&amp;"!D:D"))</f>
        <v>#REF!</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3" sqref="A3:XFD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4043" t="s">
        <v>1150</v>
      </c>
      <c r="C1" s="4043"/>
      <c r="D1" s="4043"/>
      <c r="E1" s="4043"/>
      <c r="F1" s="4043"/>
      <c r="G1" s="4042" t="s">
        <v>1151</v>
      </c>
      <c r="H1" s="4042"/>
      <c r="I1" s="4042"/>
      <c r="J1" s="4042"/>
      <c r="K1" s="4042"/>
      <c r="L1" s="4042"/>
      <c r="N1" s="4042" t="s">
        <v>1152</v>
      </c>
      <c r="O1" s="4042"/>
      <c r="P1" s="4042"/>
      <c r="Q1" s="4042"/>
      <c r="R1" s="1445"/>
      <c r="S1" s="4042" t="s">
        <v>1153</v>
      </c>
      <c r="T1" s="4042"/>
      <c r="U1" s="4042"/>
      <c r="V1" s="4042"/>
      <c r="X1" s="4041" t="s">
        <v>1154</v>
      </c>
      <c r="Y1" s="4042"/>
      <c r="Z1" s="4042"/>
      <c r="AA1" s="4042"/>
      <c r="AB1" s="4042"/>
      <c r="AD1" s="4041" t="s">
        <v>1155</v>
      </c>
      <c r="AE1" s="4042"/>
      <c r="AF1" s="4042"/>
      <c r="AG1" s="4042"/>
      <c r="AH1" s="4042"/>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3"/>
      <c r="J3" s="2923"/>
      <c r="K3" s="2923"/>
      <c r="L3" s="2923"/>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3040</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3">
        <f>ROUND(AVERAGE(I5:I20),2)</f>
        <v>2.4900000000000002</v>
      </c>
      <c r="J4" s="2923">
        <f t="shared" ref="J4:L4" si="7">ROUND(AVERAGE(J5:J20),2)</f>
        <v>1.64</v>
      </c>
      <c r="K4" s="2923">
        <f t="shared" si="7"/>
        <v>2.78</v>
      </c>
      <c r="L4" s="2923">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f>ROUND(SUMPRODUCT(PRODUCT(1+N4:N$19)),4)</f>
        <v>1.4742</v>
      </c>
      <c r="Y4" s="1458">
        <f>ROUND(SUMPRODUCT(PRODUCT(1+O4:O$19)),4)</f>
        <v>1.2875000000000001</v>
      </c>
      <c r="Z4" s="1458">
        <f t="shared" ref="Z4" si="12">Y4</f>
        <v>1.2875000000000001</v>
      </c>
      <c r="AA4" s="1458">
        <f>ROUND(SUMPRODUCT(PRODUCT(1+P4:P$19)),4)</f>
        <v>1.5399</v>
      </c>
      <c r="AB4" s="1458">
        <f>ROUND(SUMPRODUCT(PRODUCT(1+Q4:Q$19)),4)</f>
        <v>1.2475000000000001</v>
      </c>
      <c r="AD4" s="1459">
        <f>ROUND(AVERAGE(I4:I$20)/100,4)</f>
        <v>2.4899999999999999E-2</v>
      </c>
      <c r="AE4" s="1459">
        <f>ROUND(AVERAGE(J4:J$20)/100,4)</f>
        <v>1.6400000000000001E-2</v>
      </c>
      <c r="AF4" s="1459">
        <f t="shared" ref="AF4" si="13">AE4</f>
        <v>1.6400000000000001E-2</v>
      </c>
      <c r="AG4" s="1459">
        <f>ROUND(AVERAGE(K4:K$20)/100,4)</f>
        <v>2.7799999999999998E-2</v>
      </c>
      <c r="AH4" s="1459">
        <f>ROUND(AVERAGE(L4:L$20)/100,4)</f>
        <v>1.3899999999999999E-2</v>
      </c>
    </row>
    <row r="5" spans="1:34" s="1731" customFormat="1">
      <c r="A5" s="1729" t="s">
        <v>3038</v>
      </c>
      <c r="B5" s="1791">
        <f t="shared" ref="B5" si="14">B6*(1+N5)</f>
        <v>442.55931008890832</v>
      </c>
      <c r="C5" s="1791">
        <f t="shared" ref="C5" si="15">C6*(1+O5)</f>
        <v>325.83629756950273</v>
      </c>
      <c r="D5" s="1791">
        <f t="shared" ref="D5" si="16">C5</f>
        <v>325.83629756950273</v>
      </c>
      <c r="E5" s="1791">
        <f t="shared" ref="E5" si="17">E6*(1+P5)</f>
        <v>633.08482426575677</v>
      </c>
      <c r="F5" s="1791">
        <f t="shared" ref="F5" si="18">F6*(1+Q5)</f>
        <v>283.35237504580311</v>
      </c>
      <c r="G5" s="2920">
        <v>2017</v>
      </c>
      <c r="H5" s="1730">
        <v>4</v>
      </c>
      <c r="I5" s="2924">
        <f>ROUND(AVERAGE(I6:I20),2)</f>
        <v>2.4900000000000002</v>
      </c>
      <c r="J5" s="2924">
        <f>ROUND(AVERAGE(J6:J20),2)</f>
        <v>1.64</v>
      </c>
      <c r="K5" s="2924">
        <f>ROUND(AVERAGE(K6:K20),2)</f>
        <v>2.78</v>
      </c>
      <c r="L5" s="2924">
        <f>ROUND(AVERAGE(L6:L20),2)</f>
        <v>1.39</v>
      </c>
      <c r="N5" s="1466">
        <f t="shared" si="8"/>
        <v>2.4900000000000002E-2</v>
      </c>
      <c r="O5" s="1466">
        <f t="shared" ref="O5" si="19">J5/100</f>
        <v>1.6399999999999998E-2</v>
      </c>
      <c r="P5" s="1466">
        <f t="shared" ref="P5" si="20">K5/100</f>
        <v>2.7799999999999998E-2</v>
      </c>
      <c r="Q5" s="1466">
        <f t="shared" ref="Q5" si="21">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3039</v>
      </c>
      <c r="B6" s="1477">
        <f t="shared" ref="B6:B7" si="22">B7*(1+N6)</f>
        <v>431.80730811680002</v>
      </c>
      <c r="C6" s="1477">
        <f t="shared" ref="C6:C7" si="23">C7*(1+O6)</f>
        <v>320.57880516480003</v>
      </c>
      <c r="D6" s="1477">
        <f t="shared" ref="D6:D7" si="24">C6</f>
        <v>320.57880516480003</v>
      </c>
      <c r="E6" s="1477">
        <f t="shared" ref="E6:E7" si="25">E7*(1+P6)</f>
        <v>615.96110553196797</v>
      </c>
      <c r="F6" s="1477">
        <f t="shared" ref="F6:F7" si="26">F7*(1+Q6)</f>
        <v>279.46777300108801</v>
      </c>
      <c r="G6" s="2922"/>
      <c r="H6" s="1463">
        <v>3</v>
      </c>
      <c r="I6" s="1463">
        <v>2.98</v>
      </c>
      <c r="J6" s="1463">
        <v>2.11</v>
      </c>
      <c r="K6" s="1463">
        <v>3.24</v>
      </c>
      <c r="L6" s="1478">
        <v>1.72</v>
      </c>
      <c r="M6" s="1471"/>
      <c r="N6" s="1472">
        <f t="shared" si="8"/>
        <v>2.98E-2</v>
      </c>
      <c r="O6" s="1473">
        <f t="shared" ref="O6" si="27">J6/100</f>
        <v>2.1099999999999997E-2</v>
      </c>
      <c r="P6" s="1473">
        <f t="shared" ref="P6" si="28">K6/100</f>
        <v>3.2400000000000005E-2</v>
      </c>
      <c r="Q6" s="1473">
        <f t="shared" ref="Q6" si="29">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2"/>
        <v>419.31181600000002</v>
      </c>
      <c r="C7" s="1477">
        <f t="shared" si="23"/>
        <v>313.95436800000004</v>
      </c>
      <c r="D7" s="1477">
        <f t="shared" si="24"/>
        <v>313.95436800000004</v>
      </c>
      <c r="E7" s="1477">
        <f t="shared" si="25"/>
        <v>596.63028431999999</v>
      </c>
      <c r="F7" s="1477">
        <f t="shared" si="26"/>
        <v>274.74220703999998</v>
      </c>
      <c r="G7" s="2921"/>
      <c r="H7" s="1464">
        <v>2</v>
      </c>
      <c r="I7" s="1464">
        <v>3.4</v>
      </c>
      <c r="J7" s="1464">
        <v>2</v>
      </c>
      <c r="K7" s="1464">
        <v>3.82</v>
      </c>
      <c r="L7" s="1479">
        <v>1.68</v>
      </c>
      <c r="M7" s="1471"/>
      <c r="N7" s="1472">
        <f t="shared" si="8"/>
        <v>3.4000000000000002E-2</v>
      </c>
      <c r="O7" s="1473">
        <f t="shared" ref="O7" si="30">J7/100</f>
        <v>0.02</v>
      </c>
      <c r="P7" s="1473">
        <f t="shared" ref="P7" si="31">K7/100</f>
        <v>3.8199999999999998E-2</v>
      </c>
      <c r="Q7" s="1473">
        <f t="shared" ref="Q7" si="32">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3">J8/100</f>
        <v>1.9199999999999998E-2</v>
      </c>
      <c r="P8" s="1473">
        <f t="shared" si="33"/>
        <v>3.9199999999999999E-2</v>
      </c>
      <c r="Q8" s="1473">
        <f t="shared" si="33"/>
        <v>1.5800000000000002E-2</v>
      </c>
      <c r="R8" s="1474"/>
      <c r="S8" s="1472">
        <f>B8/B9-1</f>
        <v>3.4499999999999975E-2</v>
      </c>
      <c r="T8" s="1473">
        <f t="shared" ref="T8:V8" si="34">C8/C9-1</f>
        <v>1.9200000000000106E-2</v>
      </c>
      <c r="U8" s="1473">
        <f t="shared" si="34"/>
        <v>1.9200000000000106E-2</v>
      </c>
      <c r="V8" s="1473">
        <f t="shared" si="34"/>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4044">
        <v>2016</v>
      </c>
      <c r="H9" s="1461">
        <v>4</v>
      </c>
      <c r="I9" s="1461">
        <v>4.5599999999999996</v>
      </c>
      <c r="J9" s="1461">
        <v>2.15</v>
      </c>
      <c r="K9" s="1461">
        <v>5.32</v>
      </c>
      <c r="L9" s="1462">
        <v>1.57</v>
      </c>
      <c r="N9" s="1472">
        <f t="shared" si="8"/>
        <v>4.5599999999999995E-2</v>
      </c>
      <c r="O9" s="1473">
        <f t="shared" si="33"/>
        <v>2.1499999999999998E-2</v>
      </c>
      <c r="P9" s="1473">
        <f t="shared" si="33"/>
        <v>5.3200000000000004E-2</v>
      </c>
      <c r="Q9" s="1473">
        <f t="shared" si="33"/>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5">B9/(1+N9)</f>
        <v>374.90436113236416</v>
      </c>
      <c r="C10" s="1477">
        <f t="shared" si="35"/>
        <v>295.64366128242779</v>
      </c>
      <c r="D10" s="1477">
        <f t="shared" ref="D10:D69" si="36">C10</f>
        <v>295.64366128242779</v>
      </c>
      <c r="E10" s="1477">
        <f t="shared" ref="E10:F12" si="37">E9/(1+P9)</f>
        <v>525.06646410938095</v>
      </c>
      <c r="F10" s="1477">
        <f t="shared" si="37"/>
        <v>261.88835286009646</v>
      </c>
      <c r="G10" s="4039"/>
      <c r="H10" s="1463">
        <v>3</v>
      </c>
      <c r="I10" s="1463">
        <v>4.12</v>
      </c>
      <c r="J10" s="1463">
        <v>2</v>
      </c>
      <c r="K10" s="1463">
        <v>4.79</v>
      </c>
      <c r="L10" s="1478">
        <v>1.97</v>
      </c>
      <c r="N10" s="1472">
        <f t="shared" ref="N10:Q44" si="38">I10/100</f>
        <v>4.1200000000000001E-2</v>
      </c>
      <c r="O10" s="1473">
        <f t="shared" si="33"/>
        <v>0.02</v>
      </c>
      <c r="P10" s="1473">
        <f t="shared" si="33"/>
        <v>4.7899999999999998E-2</v>
      </c>
      <c r="Q10" s="1473">
        <f t="shared" si="33"/>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5"/>
        <v>360.06949782209392</v>
      </c>
      <c r="C11" s="1477">
        <f t="shared" si="35"/>
        <v>289.84672674747821</v>
      </c>
      <c r="D11" s="1477">
        <f t="shared" si="36"/>
        <v>289.84672674747821</v>
      </c>
      <c r="E11" s="1477">
        <f t="shared" si="37"/>
        <v>501.06543001181495</v>
      </c>
      <c r="F11" s="1477">
        <f t="shared" si="37"/>
        <v>256.82882500744967</v>
      </c>
      <c r="G11" s="4039"/>
      <c r="H11" s="1464">
        <v>2</v>
      </c>
      <c r="I11" s="1464">
        <v>3.85</v>
      </c>
      <c r="J11" s="1464">
        <v>1.95</v>
      </c>
      <c r="K11" s="1464">
        <v>4.4800000000000004</v>
      </c>
      <c r="L11" s="1479">
        <v>1.41</v>
      </c>
      <c r="N11" s="1472">
        <f t="shared" si="38"/>
        <v>3.85E-2</v>
      </c>
      <c r="O11" s="1473">
        <f t="shared" si="33"/>
        <v>1.95E-2</v>
      </c>
      <c r="P11" s="1473">
        <f t="shared" si="33"/>
        <v>4.4800000000000006E-2</v>
      </c>
      <c r="Q11" s="1473">
        <f t="shared" si="33"/>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5"/>
        <v>346.720748986128</v>
      </c>
      <c r="C12" s="1477">
        <f t="shared" si="35"/>
        <v>284.30282172386285</v>
      </c>
      <c r="D12" s="1477">
        <f t="shared" si="36"/>
        <v>284.30282172386285</v>
      </c>
      <c r="E12" s="1477">
        <f t="shared" si="37"/>
        <v>479.58023546306947</v>
      </c>
      <c r="F12" s="1477">
        <f t="shared" si="37"/>
        <v>253.25788877571213</v>
      </c>
      <c r="G12" s="4040"/>
      <c r="H12" s="1463">
        <v>1</v>
      </c>
      <c r="I12" s="1463">
        <v>4.09</v>
      </c>
      <c r="J12" s="1463">
        <v>2.93</v>
      </c>
      <c r="K12" s="1463">
        <v>4.54</v>
      </c>
      <c r="L12" s="1478">
        <v>1.48</v>
      </c>
      <c r="N12" s="1472">
        <f t="shared" si="38"/>
        <v>4.0899999999999999E-2</v>
      </c>
      <c r="O12" s="1473">
        <f t="shared" si="33"/>
        <v>2.9300000000000003E-2</v>
      </c>
      <c r="P12" s="1473">
        <f t="shared" si="33"/>
        <v>4.5400000000000003E-2</v>
      </c>
      <c r="Q12" s="1473">
        <f t="shared" si="33"/>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6"/>
        <v>277</v>
      </c>
      <c r="E13" s="1469">
        <v>459</v>
      </c>
      <c r="F13" s="1470">
        <v>249</v>
      </c>
      <c r="G13" s="4038">
        <v>2015</v>
      </c>
      <c r="H13" s="1482">
        <v>4</v>
      </c>
      <c r="I13" s="1482">
        <v>1.63</v>
      </c>
      <c r="J13" s="1482">
        <v>1.1100000000000001</v>
      </c>
      <c r="K13" s="1482">
        <v>1.77</v>
      </c>
      <c r="L13" s="1483">
        <v>1.89</v>
      </c>
      <c r="N13" s="1484">
        <f t="shared" si="38"/>
        <v>1.6299999999999999E-2</v>
      </c>
      <c r="O13" s="1485">
        <f t="shared" si="33"/>
        <v>1.11E-2</v>
      </c>
      <c r="P13" s="1485">
        <f t="shared" si="33"/>
        <v>1.77E-2</v>
      </c>
      <c r="Q13" s="1485">
        <f t="shared" si="33"/>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9">B13/(1+N13)</f>
        <v>327.65915576109415</v>
      </c>
      <c r="C14" s="1477">
        <f t="shared" si="39"/>
        <v>273.95905449510434</v>
      </c>
      <c r="D14" s="1477">
        <f t="shared" si="36"/>
        <v>273.95905449510434</v>
      </c>
      <c r="E14" s="1477">
        <f t="shared" ref="E14:F16" si="40">E13/(1+P13)</f>
        <v>451.01699911565294</v>
      </c>
      <c r="F14" s="1477">
        <f t="shared" si="40"/>
        <v>244.38119540681129</v>
      </c>
      <c r="G14" s="4039"/>
      <c r="H14" s="1487">
        <v>3</v>
      </c>
      <c r="I14" s="1487">
        <v>1.65</v>
      </c>
      <c r="J14" s="1487">
        <v>0.92</v>
      </c>
      <c r="K14" s="1487">
        <v>1.88</v>
      </c>
      <c r="L14" s="1488">
        <v>1.26</v>
      </c>
      <c r="N14" s="1472">
        <f t="shared" si="38"/>
        <v>1.6500000000000001E-2</v>
      </c>
      <c r="O14" s="1489">
        <f t="shared" si="33"/>
        <v>9.1999999999999998E-3</v>
      </c>
      <c r="P14" s="1489">
        <f t="shared" si="33"/>
        <v>1.8799999999999997E-2</v>
      </c>
      <c r="Q14" s="1489">
        <f t="shared" si="33"/>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9"/>
        <v>322.34053690220776</v>
      </c>
      <c r="C15" s="1477">
        <f t="shared" si="39"/>
        <v>271.46160770422546</v>
      </c>
      <c r="D15" s="1477">
        <f t="shared" si="36"/>
        <v>271.46160770422546</v>
      </c>
      <c r="E15" s="1477">
        <f t="shared" si="40"/>
        <v>442.69434542172456</v>
      </c>
      <c r="F15" s="1477">
        <f t="shared" si="40"/>
        <v>241.34030753190925</v>
      </c>
      <c r="G15" s="4039"/>
      <c r="H15" s="1464">
        <v>2</v>
      </c>
      <c r="I15" s="1464">
        <v>0.77</v>
      </c>
      <c r="J15" s="1464">
        <v>0.69</v>
      </c>
      <c r="K15" s="1464">
        <v>0.8</v>
      </c>
      <c r="L15" s="1479">
        <v>0.88</v>
      </c>
      <c r="N15" s="1472">
        <f t="shared" si="38"/>
        <v>7.7000000000000002E-3</v>
      </c>
      <c r="O15" s="1489">
        <f t="shared" si="33"/>
        <v>6.8999999999999999E-3</v>
      </c>
      <c r="P15" s="1489">
        <f t="shared" si="33"/>
        <v>8.0000000000000002E-3</v>
      </c>
      <c r="Q15" s="1489">
        <f t="shared" si="33"/>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9"/>
        <v>319.87748030386797</v>
      </c>
      <c r="C16" s="1477">
        <f t="shared" si="39"/>
        <v>269.60135833173649</v>
      </c>
      <c r="D16" s="1477">
        <f t="shared" si="36"/>
        <v>269.60135833173649</v>
      </c>
      <c r="E16" s="1477">
        <f t="shared" si="40"/>
        <v>439.18089823583784</v>
      </c>
      <c r="F16" s="1477">
        <f t="shared" si="40"/>
        <v>239.23503918706311</v>
      </c>
      <c r="G16" s="4040"/>
      <c r="H16" s="1463">
        <v>1</v>
      </c>
      <c r="I16" s="1463">
        <v>0.51</v>
      </c>
      <c r="J16" s="1463">
        <v>0.54</v>
      </c>
      <c r="K16" s="1463">
        <v>0.48</v>
      </c>
      <c r="L16" s="1478">
        <v>0.93</v>
      </c>
      <c r="N16" s="1480">
        <f t="shared" si="38"/>
        <v>5.1000000000000004E-3</v>
      </c>
      <c r="O16" s="1481">
        <f t="shared" si="33"/>
        <v>5.4000000000000003E-3</v>
      </c>
      <c r="P16" s="1481">
        <f t="shared" si="33"/>
        <v>4.7999999999999996E-3</v>
      </c>
      <c r="Q16" s="1481">
        <f t="shared" si="33"/>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6"/>
        <v>268</v>
      </c>
      <c r="E17" s="1490">
        <v>437</v>
      </c>
      <c r="F17" s="1491">
        <v>237</v>
      </c>
      <c r="G17" s="4038">
        <v>2014</v>
      </c>
      <c r="H17" s="1482">
        <v>4</v>
      </c>
      <c r="I17" s="1482">
        <v>0.21</v>
      </c>
      <c r="J17" s="1482">
        <v>0.41</v>
      </c>
      <c r="K17" s="1482">
        <v>0.12</v>
      </c>
      <c r="L17" s="1483">
        <v>0.89</v>
      </c>
      <c r="N17" s="1472">
        <f t="shared" si="38"/>
        <v>2.0999999999999999E-3</v>
      </c>
      <c r="O17" s="1473">
        <f t="shared" si="33"/>
        <v>4.0999999999999995E-3</v>
      </c>
      <c r="P17" s="1473">
        <f t="shared" si="33"/>
        <v>1.1999999999999999E-3</v>
      </c>
      <c r="Q17" s="1473">
        <f t="shared" si="33"/>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41">B17/(1+N17)</f>
        <v>317.33359944117353</v>
      </c>
      <c r="C18" s="1477">
        <f t="shared" si="41"/>
        <v>266.90568668459315</v>
      </c>
      <c r="D18" s="1477">
        <f t="shared" si="36"/>
        <v>266.90568668459315</v>
      </c>
      <c r="E18" s="1477">
        <f t="shared" ref="E18:F20" si="42">E17/(1+P17)</f>
        <v>436.47622852576905</v>
      </c>
      <c r="F18" s="1477">
        <f t="shared" si="42"/>
        <v>234.90930716622066</v>
      </c>
      <c r="G18" s="4039"/>
      <c r="H18" s="1492">
        <v>3</v>
      </c>
      <c r="I18" s="1492">
        <v>0.83</v>
      </c>
      <c r="J18" s="1492">
        <v>1.47</v>
      </c>
      <c r="K18" s="1492">
        <v>0.65</v>
      </c>
      <c r="L18" s="1493">
        <v>0.72</v>
      </c>
      <c r="N18" s="1472">
        <f t="shared" si="38"/>
        <v>8.3000000000000001E-3</v>
      </c>
      <c r="O18" s="1473">
        <f t="shared" si="33"/>
        <v>1.47E-2</v>
      </c>
      <c r="P18" s="1473">
        <f t="shared" si="33"/>
        <v>6.5000000000000006E-3</v>
      </c>
      <c r="Q18" s="1473">
        <f t="shared" si="33"/>
        <v>7.1999999999999998E-3</v>
      </c>
      <c r="R18" s="1474"/>
      <c r="S18" s="1472"/>
      <c r="T18" s="1473"/>
      <c r="U18" s="1473"/>
      <c r="V18" s="1473"/>
      <c r="X18" s="1458">
        <f>ROUND(SUMPRODUCT(PRODUCT(1+N18:N$19)),4)</f>
        <v>1.0325</v>
      </c>
      <c r="Y18" s="1458">
        <f>ROUND(SUMPRODUCT(PRODUCT(1+O18:O$19)),4)</f>
        <v>1.0353000000000001</v>
      </c>
      <c r="Z18" s="1458">
        <f t="shared" ref="Z18:Z19" si="43">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41"/>
        <v>314.72141172386546</v>
      </c>
      <c r="C19" s="1477">
        <f t="shared" si="41"/>
        <v>263.03901319069001</v>
      </c>
      <c r="D19" s="1477">
        <f t="shared" si="36"/>
        <v>263.03901319069001</v>
      </c>
      <c r="E19" s="1477">
        <f t="shared" si="42"/>
        <v>433.65745506782821</v>
      </c>
      <c r="F19" s="1477">
        <f t="shared" si="42"/>
        <v>233.23005080045735</v>
      </c>
      <c r="G19" s="4039"/>
      <c r="H19" s="1482">
        <v>2</v>
      </c>
      <c r="I19" s="1482">
        <v>2.4</v>
      </c>
      <c r="J19" s="1482">
        <v>2.0299999999999998</v>
      </c>
      <c r="K19" s="1482">
        <v>2.59</v>
      </c>
      <c r="L19" s="1483">
        <v>1.52</v>
      </c>
      <c r="N19" s="1472">
        <f t="shared" si="38"/>
        <v>2.4E-2</v>
      </c>
      <c r="O19" s="1473">
        <f t="shared" si="33"/>
        <v>2.0299999999999999E-2</v>
      </c>
      <c r="P19" s="1473">
        <f t="shared" si="33"/>
        <v>2.5899999999999999E-2</v>
      </c>
      <c r="Q19" s="1473">
        <f t="shared" si="33"/>
        <v>1.52E-2</v>
      </c>
      <c r="R19" s="1474"/>
      <c r="S19" s="1472"/>
      <c r="T19" s="1473"/>
      <c r="U19" s="1473"/>
      <c r="V19" s="1473"/>
      <c r="X19" s="1458">
        <f>1+N19</f>
        <v>1.024</v>
      </c>
      <c r="Y19" s="1458">
        <f>1+O19</f>
        <v>1.0203</v>
      </c>
      <c r="Z19" s="1458">
        <f t="shared" si="43"/>
        <v>1.0203</v>
      </c>
      <c r="AA19" s="1458">
        <f>1+P19</f>
        <v>1.0259</v>
      </c>
      <c r="AB19" s="1458">
        <f>1+Q19</f>
        <v>1.0152000000000001</v>
      </c>
      <c r="AD19" s="1459">
        <f>ROUND(AVERAGE(I19:I$20)/100,4)</f>
        <v>2.69E-2</v>
      </c>
      <c r="AE19" s="1459">
        <f>ROUND(AVERAGE(J19:J$20)/100,4)</f>
        <v>2.1899999999999999E-2</v>
      </c>
      <c r="AF19" s="1459">
        <f t="shared" ref="AF19" si="44">AE19</f>
        <v>2.1899999999999999E-2</v>
      </c>
      <c r="AG19" s="1459">
        <f>ROUND(AVERAGE(K19:K$20)/100,4)</f>
        <v>2.9399999999999999E-2</v>
      </c>
      <c r="AH19" s="1459">
        <f>ROUND(AVERAGE(L19:L$20)/100,4)</f>
        <v>1.44E-2</v>
      </c>
    </row>
    <row r="20" spans="1:34" s="1498" customFormat="1" ht="13.5" thickBot="1">
      <c r="A20" s="1494" t="s">
        <v>144</v>
      </c>
      <c r="B20" s="1495">
        <f t="shared" si="41"/>
        <v>307.34512863658733</v>
      </c>
      <c r="C20" s="1495">
        <f t="shared" si="41"/>
        <v>257.80556031626975</v>
      </c>
      <c r="D20" s="1495">
        <f t="shared" si="36"/>
        <v>257.80556031626975</v>
      </c>
      <c r="E20" s="1495">
        <f t="shared" si="42"/>
        <v>422.70928459677179</v>
      </c>
      <c r="F20" s="1495">
        <f t="shared" si="42"/>
        <v>229.73803270336617</v>
      </c>
      <c r="G20" s="4040"/>
      <c r="H20" s="1496">
        <v>1</v>
      </c>
      <c r="I20" s="1496">
        <v>2.97</v>
      </c>
      <c r="J20" s="1496">
        <v>2.34</v>
      </c>
      <c r="K20" s="1496">
        <v>3.28</v>
      </c>
      <c r="L20" s="1497">
        <v>1.36</v>
      </c>
      <c r="N20" s="1499">
        <f t="shared" si="38"/>
        <v>2.9700000000000001E-2</v>
      </c>
      <c r="O20" s="1500">
        <f t="shared" si="33"/>
        <v>2.3399999999999997E-2</v>
      </c>
      <c r="P20" s="1500">
        <f t="shared" si="33"/>
        <v>3.2799999999999996E-2</v>
      </c>
      <c r="Q20" s="1500">
        <f t="shared" si="33"/>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6"/>
        <v>252</v>
      </c>
      <c r="E21" s="1469">
        <v>409</v>
      </c>
      <c r="F21" s="1470">
        <v>227</v>
      </c>
      <c r="G21" s="4045">
        <v>2013</v>
      </c>
      <c r="H21" s="1506">
        <v>4</v>
      </c>
      <c r="I21" s="1506">
        <v>1.83</v>
      </c>
      <c r="J21" s="1506">
        <v>1.68</v>
      </c>
      <c r="K21" s="1506">
        <v>1.97</v>
      </c>
      <c r="L21" s="1507">
        <v>0.87</v>
      </c>
      <c r="N21" s="1484">
        <f t="shared" si="38"/>
        <v>1.83E-2</v>
      </c>
      <c r="O21" s="1485">
        <f t="shared" si="33"/>
        <v>1.6799999999999999E-2</v>
      </c>
      <c r="P21" s="1485">
        <f t="shared" si="33"/>
        <v>1.9699999999999999E-2</v>
      </c>
      <c r="Q21" s="1485">
        <f t="shared" si="33"/>
        <v>8.6999999999999994E-3</v>
      </c>
      <c r="R21" s="1474"/>
      <c r="S21" s="1475"/>
      <c r="T21" s="1476"/>
      <c r="U21" s="1476"/>
      <c r="V21" s="1476"/>
      <c r="X21" s="1476"/>
      <c r="Y21" s="1476"/>
      <c r="Z21" s="1476"/>
    </row>
    <row r="22" spans="1:34">
      <c r="A22" s="1460" t="s">
        <v>1165</v>
      </c>
      <c r="B22" s="1477">
        <f t="shared" ref="B22:C24" si="45">B21/(1+N21)</f>
        <v>293.62663262299913</v>
      </c>
      <c r="C22" s="1477">
        <f t="shared" si="45"/>
        <v>247.83634933123525</v>
      </c>
      <c r="D22" s="1477">
        <f t="shared" si="36"/>
        <v>247.83634933123525</v>
      </c>
      <c r="E22" s="1477">
        <f t="shared" ref="E22:F24" si="46">E21/(1+P21)</f>
        <v>401.09836226341076</v>
      </c>
      <c r="F22" s="1477">
        <f t="shared" si="46"/>
        <v>225.04213343908003</v>
      </c>
      <c r="G22" s="4046"/>
      <c r="H22" s="1487">
        <v>3</v>
      </c>
      <c r="I22" s="1487">
        <v>1.86</v>
      </c>
      <c r="J22" s="1487">
        <v>1.72</v>
      </c>
      <c r="K22" s="1487">
        <v>1.98</v>
      </c>
      <c r="L22" s="1488">
        <v>0.88</v>
      </c>
      <c r="N22" s="1472">
        <f t="shared" si="38"/>
        <v>1.8600000000000002E-2</v>
      </c>
      <c r="O22" s="1489">
        <f t="shared" si="33"/>
        <v>1.72E-2</v>
      </c>
      <c r="P22" s="1489">
        <f t="shared" si="33"/>
        <v>1.9799999999999998E-2</v>
      </c>
      <c r="Q22" s="1489">
        <f t="shared" si="33"/>
        <v>8.8000000000000005E-3</v>
      </c>
      <c r="R22" s="1474"/>
      <c r="S22" s="1472"/>
      <c r="T22" s="1473"/>
      <c r="U22" s="1473"/>
      <c r="V22" s="1473"/>
    </row>
    <row r="23" spans="1:34">
      <c r="A23" s="1460" t="s">
        <v>1166</v>
      </c>
      <c r="B23" s="1477">
        <f t="shared" si="45"/>
        <v>288.2649053828776</v>
      </c>
      <c r="C23" s="1477">
        <f t="shared" si="45"/>
        <v>243.64564425013293</v>
      </c>
      <c r="D23" s="1477">
        <f t="shared" si="36"/>
        <v>243.64564425013293</v>
      </c>
      <c r="E23" s="1477">
        <f t="shared" si="46"/>
        <v>393.31080825986544</v>
      </c>
      <c r="F23" s="1477">
        <f t="shared" si="46"/>
        <v>223.07903790551154</v>
      </c>
      <c r="G23" s="4046"/>
      <c r="H23" s="1464">
        <v>2</v>
      </c>
      <c r="I23" s="1464">
        <v>2.04</v>
      </c>
      <c r="J23" s="1464">
        <v>2.33</v>
      </c>
      <c r="K23" s="1464">
        <v>2.0699999999999998</v>
      </c>
      <c r="L23" s="1479">
        <v>0.69</v>
      </c>
      <c r="N23" s="1472">
        <f t="shared" si="38"/>
        <v>2.0400000000000001E-2</v>
      </c>
      <c r="O23" s="1489">
        <f t="shared" si="33"/>
        <v>2.3300000000000001E-2</v>
      </c>
      <c r="P23" s="1489">
        <f t="shared" si="33"/>
        <v>2.07E-2</v>
      </c>
      <c r="Q23" s="1489">
        <f t="shared" si="33"/>
        <v>6.8999999999999999E-3</v>
      </c>
      <c r="R23" s="1474"/>
      <c r="S23" s="1472"/>
      <c r="T23" s="1473"/>
      <c r="U23" s="1473"/>
      <c r="V23" s="1473"/>
      <c r="X23" s="1508"/>
      <c r="Y23" s="1509"/>
    </row>
    <row r="24" spans="1:34">
      <c r="A24" s="1460" t="s">
        <v>1167</v>
      </c>
      <c r="B24" s="1477">
        <f t="shared" si="45"/>
        <v>282.50186729015837</v>
      </c>
      <c r="C24" s="1477">
        <f t="shared" si="45"/>
        <v>238.09796174155468</v>
      </c>
      <c r="D24" s="1477">
        <f t="shared" si="36"/>
        <v>238.09796174155468</v>
      </c>
      <c r="E24" s="1477">
        <f t="shared" si="46"/>
        <v>385.33438646014054</v>
      </c>
      <c r="F24" s="1477">
        <f t="shared" si="46"/>
        <v>221.55034055567739</v>
      </c>
      <c r="G24" s="4047"/>
      <c r="H24" s="1463">
        <v>1</v>
      </c>
      <c r="I24" s="1463">
        <v>1.67</v>
      </c>
      <c r="J24" s="1463">
        <v>1.31</v>
      </c>
      <c r="K24" s="1463">
        <v>1.85</v>
      </c>
      <c r="L24" s="1478">
        <v>0.96</v>
      </c>
      <c r="N24" s="1480">
        <f t="shared" si="38"/>
        <v>1.67E-2</v>
      </c>
      <c r="O24" s="1481">
        <f t="shared" si="38"/>
        <v>1.3100000000000001E-2</v>
      </c>
      <c r="P24" s="1481">
        <f t="shared" si="38"/>
        <v>1.8500000000000003E-2</v>
      </c>
      <c r="Q24" s="1481">
        <f t="shared" si="38"/>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6"/>
        <v>234</v>
      </c>
      <c r="E25" s="1511">
        <v>379</v>
      </c>
      <c r="F25" s="1512">
        <v>220</v>
      </c>
      <c r="G25" s="4038">
        <v>2012</v>
      </c>
      <c r="H25" s="1482">
        <v>4</v>
      </c>
      <c r="I25" s="1482">
        <v>0.91</v>
      </c>
      <c r="J25" s="1482">
        <v>0.68</v>
      </c>
      <c r="K25" s="1482">
        <v>0.98</v>
      </c>
      <c r="L25" s="1483">
        <v>0.9</v>
      </c>
      <c r="N25" s="1472">
        <f t="shared" si="38"/>
        <v>9.1000000000000004E-3</v>
      </c>
      <c r="O25" s="1473">
        <f t="shared" si="38"/>
        <v>6.8000000000000005E-3</v>
      </c>
      <c r="P25" s="1473">
        <f t="shared" si="38"/>
        <v>9.7999999999999997E-3</v>
      </c>
      <c r="Q25" s="1473">
        <f t="shared" si="38"/>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6"/>
        <v>232.41954707985698</v>
      </c>
      <c r="E26" s="1477">
        <f t="shared" ref="E26:F28" si="47">E25/(1+P25)</f>
        <v>375.32184591008121</v>
      </c>
      <c r="F26" s="1477">
        <f t="shared" si="47"/>
        <v>218.03766105054513</v>
      </c>
      <c r="G26" s="4039"/>
      <c r="H26" s="1487">
        <v>3</v>
      </c>
      <c r="I26" s="1487">
        <v>0.09</v>
      </c>
      <c r="J26" s="1487">
        <v>0.28999999999999998</v>
      </c>
      <c r="K26" s="1487">
        <v>-0.01</v>
      </c>
      <c r="L26" s="1488">
        <v>0.57999999999999996</v>
      </c>
      <c r="N26" s="1472">
        <f t="shared" si="38"/>
        <v>8.9999999999999998E-4</v>
      </c>
      <c r="O26" s="1473">
        <f t="shared" si="38"/>
        <v>2.8999999999999998E-3</v>
      </c>
      <c r="P26" s="1473">
        <f t="shared" si="38"/>
        <v>-1E-4</v>
      </c>
      <c r="Q26" s="1473">
        <f t="shared" si="38"/>
        <v>5.7999999999999996E-3</v>
      </c>
      <c r="R26" s="1474"/>
      <c r="S26" s="1472"/>
      <c r="T26" s="1473"/>
      <c r="U26" s="1473"/>
      <c r="V26" s="1473"/>
    </row>
    <row r="27" spans="1:34">
      <c r="A27" s="1460" t="s">
        <v>1170</v>
      </c>
      <c r="B27" s="1477">
        <f>B26/(1+N26)</f>
        <v>275.24529281292263</v>
      </c>
      <c r="C27" s="1477">
        <f>C26/(1+O26)</f>
        <v>231.74747938962707</v>
      </c>
      <c r="D27" s="1477">
        <f t="shared" si="36"/>
        <v>231.74747938962707</v>
      </c>
      <c r="E27" s="1477">
        <f t="shared" si="47"/>
        <v>375.35938184826603</v>
      </c>
      <c r="F27" s="1477">
        <f t="shared" si="47"/>
        <v>216.78033510692495</v>
      </c>
      <c r="G27" s="4039"/>
      <c r="H27" s="1464">
        <v>2</v>
      </c>
      <c r="I27" s="1464">
        <v>0.02</v>
      </c>
      <c r="J27" s="1464">
        <v>0.12</v>
      </c>
      <c r="K27" s="1464">
        <v>-0.08</v>
      </c>
      <c r="L27" s="1479">
        <v>1.24</v>
      </c>
      <c r="N27" s="1472">
        <f t="shared" si="38"/>
        <v>2.0000000000000001E-4</v>
      </c>
      <c r="O27" s="1473">
        <f t="shared" si="38"/>
        <v>1.1999999999999999E-3</v>
      </c>
      <c r="P27" s="1473">
        <f t="shared" si="38"/>
        <v>-8.0000000000000004E-4</v>
      </c>
      <c r="Q27" s="1473">
        <f t="shared" si="38"/>
        <v>1.24E-2</v>
      </c>
      <c r="R27" s="1474"/>
      <c r="S27" s="1472"/>
      <c r="T27" s="1473"/>
      <c r="U27" s="1473"/>
      <c r="V27" s="1473"/>
    </row>
    <row r="28" spans="1:34" ht="13.5" thickBot="1">
      <c r="A28" s="1460" t="s">
        <v>1171</v>
      </c>
      <c r="B28" s="1477">
        <f>B27/(1+N27)</f>
        <v>275.19025476197027</v>
      </c>
      <c r="C28" s="1513">
        <v>232</v>
      </c>
      <c r="D28" s="1513">
        <f t="shared" si="36"/>
        <v>232</v>
      </c>
      <c r="E28" s="1477">
        <f t="shared" si="47"/>
        <v>375.65990977608692</v>
      </c>
      <c r="F28" s="1477">
        <f t="shared" si="47"/>
        <v>214.12518283971252</v>
      </c>
      <c r="G28" s="4040"/>
      <c r="H28" s="1463">
        <v>1</v>
      </c>
      <c r="I28" s="1463">
        <v>0.02</v>
      </c>
      <c r="J28" s="1463">
        <v>0.13</v>
      </c>
      <c r="K28" s="1463">
        <v>-0.04</v>
      </c>
      <c r="L28" s="1478">
        <v>0.46</v>
      </c>
      <c r="N28" s="1472">
        <f t="shared" si="38"/>
        <v>2.0000000000000001E-4</v>
      </c>
      <c r="O28" s="1473">
        <f t="shared" si="38"/>
        <v>1.2999999999999999E-3</v>
      </c>
      <c r="P28" s="1473">
        <f t="shared" si="38"/>
        <v>-4.0000000000000002E-4</v>
      </c>
      <c r="Q28" s="1473">
        <f t="shared" si="38"/>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6"/>
        <v>232</v>
      </c>
      <c r="E29" s="1469">
        <v>376</v>
      </c>
      <c r="F29" s="1470">
        <v>213</v>
      </c>
      <c r="G29" s="4038">
        <v>2011</v>
      </c>
      <c r="H29" s="1482">
        <v>4</v>
      </c>
      <c r="I29" s="1482">
        <v>-0.2</v>
      </c>
      <c r="J29" s="1482">
        <v>0.04</v>
      </c>
      <c r="K29" s="1482">
        <v>-0.34</v>
      </c>
      <c r="L29" s="1483">
        <v>0.46</v>
      </c>
      <c r="N29" s="1484">
        <f t="shared" si="38"/>
        <v>-2E-3</v>
      </c>
      <c r="O29" s="1485">
        <f t="shared" si="38"/>
        <v>4.0000000000000002E-4</v>
      </c>
      <c r="P29" s="1485">
        <f t="shared" si="38"/>
        <v>-3.4000000000000002E-3</v>
      </c>
      <c r="Q29" s="1485">
        <f t="shared" si="38"/>
        <v>4.5999999999999999E-3</v>
      </c>
      <c r="R29" s="1474"/>
      <c r="S29" s="1475"/>
      <c r="T29" s="1476"/>
      <c r="U29" s="1476"/>
      <c r="V29" s="1476"/>
      <c r="X29" s="1476"/>
      <c r="Y29" s="1476"/>
      <c r="Z29" s="1476"/>
    </row>
    <row r="30" spans="1:34">
      <c r="A30" s="1460" t="s">
        <v>1173</v>
      </c>
      <c r="B30" s="1477">
        <f t="shared" ref="B30:C32" si="48">B29/(1+N29)</f>
        <v>275.55110220440883</v>
      </c>
      <c r="C30" s="1477">
        <f t="shared" si="48"/>
        <v>231.90723710515795</v>
      </c>
      <c r="D30" s="1477">
        <f t="shared" si="36"/>
        <v>231.90723710515795</v>
      </c>
      <c r="E30" s="1477">
        <f t="shared" ref="E30:F32" si="49">E29/(1+P29)</f>
        <v>377.28276138872161</v>
      </c>
      <c r="F30" s="1477">
        <f t="shared" si="49"/>
        <v>212.02468644236512</v>
      </c>
      <c r="G30" s="4039">
        <v>2011</v>
      </c>
      <c r="H30" s="1487">
        <v>3</v>
      </c>
      <c r="I30" s="1487">
        <v>0.13</v>
      </c>
      <c r="J30" s="1487">
        <v>0.75</v>
      </c>
      <c r="K30" s="1487">
        <v>-0.08</v>
      </c>
      <c r="L30" s="1488">
        <v>0.53</v>
      </c>
      <c r="N30" s="1472">
        <f t="shared" si="38"/>
        <v>1.2999999999999999E-3</v>
      </c>
      <c r="O30" s="1489">
        <f t="shared" si="38"/>
        <v>7.4999999999999997E-3</v>
      </c>
      <c r="P30" s="1489">
        <f t="shared" si="38"/>
        <v>-8.0000000000000004E-4</v>
      </c>
      <c r="Q30" s="1489">
        <f t="shared" si="38"/>
        <v>5.3E-3</v>
      </c>
      <c r="R30" s="1474"/>
      <c r="S30" s="1472"/>
      <c r="T30" s="1473"/>
      <c r="U30" s="1473"/>
      <c r="V30" s="1473"/>
    </row>
    <row r="31" spans="1:34">
      <c r="A31" s="1460" t="s">
        <v>1174</v>
      </c>
      <c r="B31" s="1477">
        <f t="shared" si="48"/>
        <v>275.19335084830601</v>
      </c>
      <c r="C31" s="1477">
        <f t="shared" si="48"/>
        <v>230.18088050139744</v>
      </c>
      <c r="D31" s="1477">
        <f t="shared" si="36"/>
        <v>230.18088050139744</v>
      </c>
      <c r="E31" s="1477">
        <f t="shared" si="49"/>
        <v>377.58482925212331</v>
      </c>
      <c r="F31" s="1477">
        <f t="shared" si="49"/>
        <v>210.90687997847917</v>
      </c>
      <c r="G31" s="4039">
        <v>2011</v>
      </c>
      <c r="H31" s="1464">
        <v>2</v>
      </c>
      <c r="I31" s="1464">
        <v>-0.4</v>
      </c>
      <c r="J31" s="1464">
        <v>0.17</v>
      </c>
      <c r="K31" s="1464">
        <v>-0.57999999999999996</v>
      </c>
      <c r="L31" s="1479">
        <v>-0.2</v>
      </c>
      <c r="N31" s="1472">
        <f t="shared" si="38"/>
        <v>-4.0000000000000001E-3</v>
      </c>
      <c r="O31" s="1489">
        <f t="shared" si="38"/>
        <v>1.7000000000000001E-3</v>
      </c>
      <c r="P31" s="1489">
        <f t="shared" si="38"/>
        <v>-5.7999999999999996E-3</v>
      </c>
      <c r="Q31" s="1489">
        <f t="shared" si="38"/>
        <v>-2E-3</v>
      </c>
      <c r="R31" s="1474"/>
      <c r="S31" s="1472"/>
      <c r="T31" s="1473"/>
      <c r="U31" s="1473"/>
      <c r="V31" s="1473"/>
    </row>
    <row r="32" spans="1:34" ht="13.5" thickBot="1">
      <c r="A32" s="1460" t="s">
        <v>1175</v>
      </c>
      <c r="B32" s="1477">
        <f t="shared" si="48"/>
        <v>276.29854502841971</v>
      </c>
      <c r="C32" s="1477">
        <f t="shared" si="48"/>
        <v>229.79023709833027</v>
      </c>
      <c r="D32" s="1477">
        <f t="shared" si="36"/>
        <v>229.79023709833027</v>
      </c>
      <c r="E32" s="1477">
        <f t="shared" si="49"/>
        <v>379.78759731655936</v>
      </c>
      <c r="F32" s="1477">
        <f t="shared" si="49"/>
        <v>211.32953905659235</v>
      </c>
      <c r="G32" s="4040">
        <v>2011</v>
      </c>
      <c r="H32" s="1463">
        <v>1</v>
      </c>
      <c r="I32" s="1463">
        <v>2.65</v>
      </c>
      <c r="J32" s="1463">
        <v>3.76</v>
      </c>
      <c r="K32" s="1463">
        <v>1.89</v>
      </c>
      <c r="L32" s="1478">
        <v>7.95</v>
      </c>
      <c r="N32" s="1480">
        <f t="shared" si="38"/>
        <v>2.6499999999999999E-2</v>
      </c>
      <c r="O32" s="1481">
        <f t="shared" si="38"/>
        <v>3.7599999999999995E-2</v>
      </c>
      <c r="P32" s="1481">
        <f t="shared" si="38"/>
        <v>1.89E-2</v>
      </c>
      <c r="Q32" s="1481">
        <f t="shared" si="38"/>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6"/>
        <v>221</v>
      </c>
      <c r="E33" s="1469">
        <v>373</v>
      </c>
      <c r="F33" s="1470">
        <v>196</v>
      </c>
      <c r="G33" s="4038">
        <v>2010</v>
      </c>
      <c r="H33" s="1482">
        <v>4</v>
      </c>
      <c r="I33" s="1482">
        <v>5.72</v>
      </c>
      <c r="J33" s="1482">
        <v>6.57</v>
      </c>
      <c r="K33" s="1482">
        <v>5.72</v>
      </c>
      <c r="L33" s="1483">
        <v>2.72</v>
      </c>
      <c r="N33" s="1472">
        <f t="shared" si="38"/>
        <v>5.7200000000000001E-2</v>
      </c>
      <c r="O33" s="1473">
        <f t="shared" si="38"/>
        <v>6.5700000000000008E-2</v>
      </c>
      <c r="P33" s="1473">
        <f t="shared" si="38"/>
        <v>5.7200000000000001E-2</v>
      </c>
      <c r="Q33" s="1473">
        <f t="shared" si="38"/>
        <v>2.7200000000000002E-2</v>
      </c>
      <c r="R33" s="1474"/>
      <c r="S33" s="1475"/>
      <c r="T33" s="1476"/>
      <c r="U33" s="1476"/>
      <c r="V33" s="1476"/>
      <c r="X33" s="1476"/>
      <c r="Y33" s="1476"/>
      <c r="Z33" s="1476"/>
    </row>
    <row r="34" spans="1:26">
      <c r="A34" s="1460" t="s">
        <v>1177</v>
      </c>
      <c r="B34" s="1477">
        <f t="shared" ref="B34:C36" si="50">B33/(1+N33)</f>
        <v>254.44570563753314</v>
      </c>
      <c r="C34" s="1477">
        <f t="shared" si="50"/>
        <v>207.37543398705074</v>
      </c>
      <c r="D34" s="1477">
        <f t="shared" si="36"/>
        <v>207.37543398705074</v>
      </c>
      <c r="E34" s="1477">
        <f t="shared" ref="E34:F36" si="51">E33/(1+P33)</f>
        <v>352.81876655315932</v>
      </c>
      <c r="F34" s="1477">
        <f t="shared" si="51"/>
        <v>190.809968847352</v>
      </c>
      <c r="G34" s="4039">
        <v>2010</v>
      </c>
      <c r="H34" s="1487">
        <v>3</v>
      </c>
      <c r="I34" s="1487">
        <v>4.7300000000000004</v>
      </c>
      <c r="J34" s="1487">
        <v>3.9</v>
      </c>
      <c r="K34" s="1487">
        <v>5.03</v>
      </c>
      <c r="L34" s="1488">
        <v>4.21</v>
      </c>
      <c r="N34" s="1472">
        <f t="shared" si="38"/>
        <v>4.7300000000000002E-2</v>
      </c>
      <c r="O34" s="1473">
        <f t="shared" si="38"/>
        <v>3.9E-2</v>
      </c>
      <c r="P34" s="1473">
        <f t="shared" si="38"/>
        <v>5.0300000000000004E-2</v>
      </c>
      <c r="Q34" s="1473">
        <f t="shared" si="38"/>
        <v>4.2099999999999999E-2</v>
      </c>
      <c r="R34" s="1474"/>
      <c r="S34" s="1472"/>
      <c r="T34" s="1473"/>
      <c r="U34" s="1473"/>
      <c r="V34" s="1473"/>
    </row>
    <row r="35" spans="1:26">
      <c r="A35" s="1460" t="s">
        <v>1178</v>
      </c>
      <c r="B35" s="1477">
        <f t="shared" si="50"/>
        <v>242.95398227588385</v>
      </c>
      <c r="C35" s="1477">
        <f t="shared" si="50"/>
        <v>199.59137053614126</v>
      </c>
      <c r="D35" s="1477">
        <f t="shared" si="36"/>
        <v>199.59137053614126</v>
      </c>
      <c r="E35" s="1477">
        <f t="shared" si="51"/>
        <v>335.92189522342125</v>
      </c>
      <c r="F35" s="1477">
        <f t="shared" si="51"/>
        <v>183.10139991109489</v>
      </c>
      <c r="G35" s="4039">
        <v>2010</v>
      </c>
      <c r="H35" s="1464">
        <v>2</v>
      </c>
      <c r="I35" s="1464">
        <v>4.6900000000000004</v>
      </c>
      <c r="J35" s="1464">
        <v>3.55</v>
      </c>
      <c r="K35" s="1464">
        <v>5.07</v>
      </c>
      <c r="L35" s="1479">
        <v>4.2300000000000004</v>
      </c>
      <c r="N35" s="1472">
        <f t="shared" si="38"/>
        <v>4.6900000000000004E-2</v>
      </c>
      <c r="O35" s="1473">
        <f t="shared" si="38"/>
        <v>3.5499999999999997E-2</v>
      </c>
      <c r="P35" s="1473">
        <f t="shared" si="38"/>
        <v>5.0700000000000002E-2</v>
      </c>
      <c r="Q35" s="1473">
        <f t="shared" si="38"/>
        <v>4.2300000000000004E-2</v>
      </c>
      <c r="R35" s="1474"/>
      <c r="S35" s="1472"/>
      <c r="T35" s="1473"/>
      <c r="U35" s="1473"/>
      <c r="V35" s="1473"/>
    </row>
    <row r="36" spans="1:26" ht="13.5" thickBot="1">
      <c r="A36" s="1460" t="s">
        <v>1179</v>
      </c>
      <c r="B36" s="1477">
        <f t="shared" si="50"/>
        <v>232.06990378821649</v>
      </c>
      <c r="C36" s="1477">
        <f t="shared" si="50"/>
        <v>192.74878854286936</v>
      </c>
      <c r="D36" s="1477">
        <f t="shared" si="36"/>
        <v>192.74878854286936</v>
      </c>
      <c r="E36" s="1477">
        <f t="shared" si="51"/>
        <v>319.71247284992984</v>
      </c>
      <c r="F36" s="1477">
        <f t="shared" si="51"/>
        <v>175.67053622862409</v>
      </c>
      <c r="G36" s="4040">
        <v>2010</v>
      </c>
      <c r="H36" s="1463">
        <v>1</v>
      </c>
      <c r="I36" s="1463">
        <v>5.4</v>
      </c>
      <c r="J36" s="1463">
        <v>3.2</v>
      </c>
      <c r="K36" s="1463">
        <v>6.16</v>
      </c>
      <c r="L36" s="1478">
        <v>4.51</v>
      </c>
      <c r="N36" s="1472">
        <f t="shared" si="38"/>
        <v>5.4000000000000006E-2</v>
      </c>
      <c r="O36" s="1473">
        <f t="shared" si="38"/>
        <v>3.2000000000000001E-2</v>
      </c>
      <c r="P36" s="1473">
        <f t="shared" si="38"/>
        <v>6.1600000000000002E-2</v>
      </c>
      <c r="Q36" s="1473">
        <f t="shared" si="38"/>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6"/>
        <v>187</v>
      </c>
      <c r="E37" s="1469">
        <v>301</v>
      </c>
      <c r="F37" s="1470">
        <v>168</v>
      </c>
      <c r="G37" s="4038">
        <v>2009</v>
      </c>
      <c r="H37" s="1482">
        <v>4</v>
      </c>
      <c r="I37" s="1482">
        <v>2.2999999999999998</v>
      </c>
      <c r="J37" s="1482">
        <v>1.04</v>
      </c>
      <c r="K37" s="1482">
        <v>2.84</v>
      </c>
      <c r="L37" s="1483">
        <v>0.67</v>
      </c>
      <c r="N37" s="1484">
        <f t="shared" si="38"/>
        <v>2.3E-2</v>
      </c>
      <c r="O37" s="1485">
        <f t="shared" si="38"/>
        <v>1.04E-2</v>
      </c>
      <c r="P37" s="1485">
        <f t="shared" si="38"/>
        <v>2.8399999999999998E-2</v>
      </c>
      <c r="Q37" s="1485">
        <f t="shared" si="38"/>
        <v>6.7000000000000002E-3</v>
      </c>
      <c r="R37" s="1474"/>
      <c r="S37" s="1475"/>
      <c r="T37" s="1476"/>
      <c r="U37" s="1476"/>
      <c r="V37" s="1476"/>
      <c r="X37" s="1476"/>
      <c r="Y37" s="1476"/>
      <c r="Z37" s="1476"/>
    </row>
    <row r="38" spans="1:26">
      <c r="A38" s="1460" t="s">
        <v>1181</v>
      </c>
      <c r="B38" s="1477">
        <f t="shared" ref="B38:C40" si="52">B37/(1+N37)</f>
        <v>215.05376344086022</v>
      </c>
      <c r="C38" s="1477">
        <f t="shared" si="52"/>
        <v>185.0752177355503</v>
      </c>
      <c r="D38" s="1477">
        <f t="shared" si="36"/>
        <v>185.0752177355503</v>
      </c>
      <c r="E38" s="1477">
        <f t="shared" ref="E38:F40" si="53">E37/(1+P37)</f>
        <v>292.68767016725008</v>
      </c>
      <c r="F38" s="1477">
        <f t="shared" si="53"/>
        <v>166.88189132810174</v>
      </c>
      <c r="G38" s="4039">
        <v>2009</v>
      </c>
      <c r="H38" s="1487">
        <v>3</v>
      </c>
      <c r="I38" s="1487">
        <v>2.1</v>
      </c>
      <c r="J38" s="1487">
        <v>1.86</v>
      </c>
      <c r="K38" s="1487">
        <v>2.29</v>
      </c>
      <c r="L38" s="1488">
        <v>0.85</v>
      </c>
      <c r="N38" s="1472">
        <f t="shared" si="38"/>
        <v>2.1000000000000001E-2</v>
      </c>
      <c r="O38" s="1489">
        <f t="shared" si="38"/>
        <v>1.8600000000000002E-2</v>
      </c>
      <c r="P38" s="1489">
        <f t="shared" si="38"/>
        <v>2.29E-2</v>
      </c>
      <c r="Q38" s="1489">
        <f t="shared" si="38"/>
        <v>8.5000000000000006E-3</v>
      </c>
      <c r="R38" s="1474"/>
      <c r="S38" s="1472"/>
      <c r="T38" s="1473"/>
      <c r="U38" s="1473"/>
      <c r="V38" s="1473"/>
    </row>
    <row r="39" spans="1:26">
      <c r="A39" s="1460" t="s">
        <v>1182</v>
      </c>
      <c r="B39" s="1477">
        <f t="shared" si="52"/>
        <v>210.630522469011</v>
      </c>
      <c r="C39" s="1477">
        <f t="shared" si="52"/>
        <v>181.69567812247232</v>
      </c>
      <c r="D39" s="1477">
        <f t="shared" si="36"/>
        <v>181.69567812247232</v>
      </c>
      <c r="E39" s="1477">
        <f t="shared" si="53"/>
        <v>286.13517466736738</v>
      </c>
      <c r="F39" s="1477">
        <f t="shared" si="53"/>
        <v>165.47535084591149</v>
      </c>
      <c r="G39" s="4039">
        <v>2009</v>
      </c>
      <c r="H39" s="1464">
        <v>2</v>
      </c>
      <c r="I39" s="1464">
        <v>0.86</v>
      </c>
      <c r="J39" s="1464">
        <v>-1.1299999999999999</v>
      </c>
      <c r="K39" s="1464">
        <v>1.79</v>
      </c>
      <c r="L39" s="1479">
        <v>-2.0699999999999998</v>
      </c>
      <c r="N39" s="1472">
        <f t="shared" si="38"/>
        <v>8.6E-3</v>
      </c>
      <c r="O39" s="1489">
        <f t="shared" si="38"/>
        <v>-1.1299999999999999E-2</v>
      </c>
      <c r="P39" s="1489">
        <f t="shared" si="38"/>
        <v>1.7899999999999999E-2</v>
      </c>
      <c r="Q39" s="1489">
        <f t="shared" si="38"/>
        <v>-2.07E-2</v>
      </c>
      <c r="R39" s="1474"/>
      <c r="S39" s="1472"/>
      <c r="T39" s="1473"/>
      <c r="U39" s="1473"/>
      <c r="V39" s="1473"/>
    </row>
    <row r="40" spans="1:26">
      <c r="A40" s="1460" t="s">
        <v>1183</v>
      </c>
      <c r="B40" s="1477">
        <f t="shared" si="52"/>
        <v>208.83454537875372</v>
      </c>
      <c r="C40" s="1477">
        <f t="shared" si="52"/>
        <v>183.77230517090351</v>
      </c>
      <c r="D40" s="1477">
        <f t="shared" si="36"/>
        <v>183.77230517090351</v>
      </c>
      <c r="E40" s="1477">
        <f t="shared" si="53"/>
        <v>281.10342338870947</v>
      </c>
      <c r="F40" s="1477">
        <f t="shared" si="53"/>
        <v>168.97309388942256</v>
      </c>
      <c r="G40" s="4040">
        <v>2009</v>
      </c>
      <c r="H40" s="1463">
        <v>1</v>
      </c>
      <c r="I40" s="1463">
        <v>-2.64</v>
      </c>
      <c r="J40" s="1463">
        <v>-2.5299999999999998</v>
      </c>
      <c r="K40" s="1463">
        <v>-3.02</v>
      </c>
      <c r="L40" s="1478">
        <v>1.52</v>
      </c>
      <c r="N40" s="1480">
        <f t="shared" si="38"/>
        <v>-2.64E-2</v>
      </c>
      <c r="O40" s="1481">
        <f t="shared" si="38"/>
        <v>-2.53E-2</v>
      </c>
      <c r="P40" s="1481">
        <f t="shared" si="38"/>
        <v>-3.0200000000000001E-2</v>
      </c>
      <c r="Q40" s="1481">
        <f t="shared" si="38"/>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6"/>
        <v>188</v>
      </c>
      <c r="E41" s="1511">
        <v>289</v>
      </c>
      <c r="F41" s="1512">
        <v>166</v>
      </c>
      <c r="G41" s="4038">
        <v>2008</v>
      </c>
      <c r="H41" s="1482">
        <v>4</v>
      </c>
      <c r="I41" s="1482">
        <v>1.73</v>
      </c>
      <c r="J41" s="1482">
        <v>0.03</v>
      </c>
      <c r="K41" s="1482">
        <v>2.59</v>
      </c>
      <c r="L41" s="1483">
        <v>-1.66</v>
      </c>
      <c r="N41" s="1472">
        <f t="shared" si="38"/>
        <v>1.7299999999999999E-2</v>
      </c>
      <c r="O41" s="1473">
        <f t="shared" si="38"/>
        <v>2.9999999999999997E-4</v>
      </c>
      <c r="P41" s="1473">
        <f t="shared" si="38"/>
        <v>2.5899999999999999E-2</v>
      </c>
      <c r="Q41" s="1473">
        <f t="shared" si="38"/>
        <v>-1.66E-2</v>
      </c>
      <c r="R41" s="1474"/>
      <c r="S41" s="1475"/>
      <c r="T41" s="1476"/>
      <c r="U41" s="1476"/>
      <c r="V41" s="1476"/>
      <c r="X41" s="1476"/>
      <c r="Y41" s="1476"/>
      <c r="Z41" s="1476"/>
    </row>
    <row r="42" spans="1:26">
      <c r="A42" s="1460" t="s">
        <v>1185</v>
      </c>
      <c r="B42" s="1477">
        <f t="shared" ref="B42:C44" si="54">B41/(1+N41)</f>
        <v>210.36075887152265</v>
      </c>
      <c r="C42" s="1477">
        <f t="shared" si="54"/>
        <v>187.94361691492554</v>
      </c>
      <c r="D42" s="1477">
        <f t="shared" si="36"/>
        <v>187.94361691492554</v>
      </c>
      <c r="E42" s="1477">
        <f t="shared" ref="E42:F44" si="55">E41/(1+P41)</f>
        <v>281.70386977288234</v>
      </c>
      <c r="F42" s="1477">
        <f t="shared" si="55"/>
        <v>168.80211511083994</v>
      </c>
      <c r="G42" s="4039">
        <v>2008</v>
      </c>
      <c r="H42" s="1487">
        <v>3</v>
      </c>
      <c r="I42" s="1487">
        <v>1.96</v>
      </c>
      <c r="J42" s="1487">
        <v>2.36</v>
      </c>
      <c r="K42" s="1487">
        <v>1.82</v>
      </c>
      <c r="L42" s="1488">
        <v>2.2200000000000002</v>
      </c>
      <c r="N42" s="1472">
        <f t="shared" si="38"/>
        <v>1.9599999999999999E-2</v>
      </c>
      <c r="O42" s="1473">
        <f t="shared" si="38"/>
        <v>2.3599999999999999E-2</v>
      </c>
      <c r="P42" s="1473">
        <f t="shared" si="38"/>
        <v>1.8200000000000001E-2</v>
      </c>
      <c r="Q42" s="1473">
        <f t="shared" si="38"/>
        <v>2.2200000000000001E-2</v>
      </c>
      <c r="R42" s="1474"/>
      <c r="S42" s="1472"/>
      <c r="T42" s="1473"/>
      <c r="U42" s="1473"/>
      <c r="V42" s="1473"/>
    </row>
    <row r="43" spans="1:26">
      <c r="A43" s="1460" t="s">
        <v>1186</v>
      </c>
      <c r="B43" s="1477">
        <f t="shared" si="54"/>
        <v>206.31694671589116</v>
      </c>
      <c r="C43" s="1477">
        <f t="shared" si="54"/>
        <v>183.61041121036101</v>
      </c>
      <c r="D43" s="1477">
        <f t="shared" si="36"/>
        <v>183.61041121036101</v>
      </c>
      <c r="E43" s="1477">
        <f t="shared" si="55"/>
        <v>276.66850301795557</v>
      </c>
      <c r="F43" s="1477">
        <f t="shared" si="55"/>
        <v>165.1360938278614</v>
      </c>
      <c r="G43" s="4039">
        <v>2008</v>
      </c>
      <c r="H43" s="1464">
        <v>2</v>
      </c>
      <c r="I43" s="1464">
        <v>4.93</v>
      </c>
      <c r="J43" s="1464">
        <v>7.38</v>
      </c>
      <c r="K43" s="1464">
        <v>3.98</v>
      </c>
      <c r="L43" s="1479">
        <v>6.86</v>
      </c>
      <c r="N43" s="1472">
        <f t="shared" si="38"/>
        <v>4.9299999999999997E-2</v>
      </c>
      <c r="O43" s="1473">
        <f t="shared" si="38"/>
        <v>7.3800000000000004E-2</v>
      </c>
      <c r="P43" s="1473">
        <f t="shared" si="38"/>
        <v>3.9800000000000002E-2</v>
      </c>
      <c r="Q43" s="1473">
        <f t="shared" si="38"/>
        <v>6.8600000000000008E-2</v>
      </c>
      <c r="R43" s="1474"/>
      <c r="S43" s="1472"/>
      <c r="T43" s="1473"/>
      <c r="U43" s="1473"/>
      <c r="V43" s="1473"/>
    </row>
    <row r="44" spans="1:26" s="1517" customFormat="1" ht="13.5" thickBot="1">
      <c r="A44" s="1460" t="s">
        <v>1187</v>
      </c>
      <c r="B44" s="1514">
        <f t="shared" si="54"/>
        <v>196.62341248059772</v>
      </c>
      <c r="C44" s="1514">
        <f t="shared" si="54"/>
        <v>170.99125648199012</v>
      </c>
      <c r="D44" s="1514">
        <f t="shared" si="36"/>
        <v>170.99125648199012</v>
      </c>
      <c r="E44" s="1514">
        <f t="shared" si="55"/>
        <v>266.07857570490052</v>
      </c>
      <c r="F44" s="1514">
        <f t="shared" si="55"/>
        <v>154.53499328828505</v>
      </c>
      <c r="G44" s="4040">
        <v>2008</v>
      </c>
      <c r="H44" s="1515">
        <v>1</v>
      </c>
      <c r="I44" s="1515">
        <v>4.1399999999999997</v>
      </c>
      <c r="J44" s="1515">
        <v>3.45</v>
      </c>
      <c r="K44" s="1515">
        <v>4.95</v>
      </c>
      <c r="L44" s="1516">
        <v>4.82</v>
      </c>
      <c r="N44" s="1518">
        <f t="shared" si="38"/>
        <v>4.1399999999999999E-2</v>
      </c>
      <c r="O44" s="1519">
        <f t="shared" si="38"/>
        <v>3.4500000000000003E-2</v>
      </c>
      <c r="P44" s="1519">
        <f t="shared" si="38"/>
        <v>4.9500000000000002E-2</v>
      </c>
      <c r="Q44" s="1519">
        <f t="shared" si="38"/>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6"/>
        <v>165</v>
      </c>
      <c r="E45" s="1469">
        <v>254</v>
      </c>
      <c r="F45" s="1470">
        <v>148</v>
      </c>
      <c r="G45" s="4038">
        <v>2007</v>
      </c>
      <c r="H45" s="1522">
        <v>4</v>
      </c>
      <c r="I45" s="1522">
        <v>5.51</v>
      </c>
      <c r="J45" s="1522">
        <v>4.8899999999999997</v>
      </c>
      <c r="K45" s="1522">
        <v>6.43</v>
      </c>
      <c r="L45" s="1523">
        <v>5.36</v>
      </c>
      <c r="N45" s="1524">
        <f t="shared" ref="N45:O48" si="56">B45/B46-1</f>
        <v>4.1339718365245526E-2</v>
      </c>
      <c r="O45" s="1525">
        <f t="shared" si="56"/>
        <v>4.0324492593776018E-2</v>
      </c>
      <c r="P45" s="1525">
        <f t="shared" ref="P45:Q48" si="57">E45/E46-1</f>
        <v>6.1625555347990968E-2</v>
      </c>
      <c r="Q45" s="1525">
        <f t="shared" si="57"/>
        <v>4.6757569250590603E-2</v>
      </c>
      <c r="R45" s="1474"/>
      <c r="S45" s="1475"/>
      <c r="T45" s="1476"/>
      <c r="U45" s="1476"/>
      <c r="V45" s="1476"/>
      <c r="X45" s="1476"/>
      <c r="Y45" s="1476"/>
      <c r="Z45" s="1476"/>
    </row>
    <row r="46" spans="1:26">
      <c r="A46" s="1460" t="s">
        <v>1189</v>
      </c>
      <c r="B46" s="1477">
        <f t="shared" ref="B46:C48" si="58">B47+(B$45-B$49)*I46/SUM(I$45:I$48)</f>
        <v>180.5366651097618</v>
      </c>
      <c r="C46" s="1477">
        <f t="shared" si="58"/>
        <v>158.60435967302453</v>
      </c>
      <c r="D46" s="1477">
        <f t="shared" si="36"/>
        <v>158.60435967302453</v>
      </c>
      <c r="E46" s="1477">
        <f t="shared" ref="E46:F48" si="59">E47+(E$45-E$49)*K46/SUM(K$45:K$48)</f>
        <v>239.25573260785075</v>
      </c>
      <c r="F46" s="1477">
        <f t="shared" si="59"/>
        <v>141.38899430740037</v>
      </c>
      <c r="G46" s="4039">
        <v>2007</v>
      </c>
      <c r="H46" s="1487">
        <v>3</v>
      </c>
      <c r="I46" s="1487">
        <v>8.65</v>
      </c>
      <c r="J46" s="1487">
        <v>8.06</v>
      </c>
      <c r="K46" s="1487">
        <v>9.94</v>
      </c>
      <c r="L46" s="1488">
        <v>5.8</v>
      </c>
      <c r="N46" s="1524">
        <f t="shared" si="56"/>
        <v>6.940217571740015E-2</v>
      </c>
      <c r="O46" s="1525">
        <f t="shared" si="56"/>
        <v>7.1197482471153428E-2</v>
      </c>
      <c r="P46" s="1525">
        <f t="shared" si="57"/>
        <v>0.10529679922579582</v>
      </c>
      <c r="Q46" s="1525">
        <f t="shared" si="57"/>
        <v>5.3292245059512133E-2</v>
      </c>
      <c r="R46" s="1474"/>
      <c r="S46" s="1472"/>
      <c r="T46" s="1473"/>
      <c r="U46" s="1473"/>
      <c r="V46" s="1473"/>
      <c r="X46" s="1526"/>
      <c r="Y46" s="1526"/>
      <c r="Z46" s="1526"/>
    </row>
    <row r="47" spans="1:26">
      <c r="A47" s="1460" t="s">
        <v>1190</v>
      </c>
      <c r="B47" s="1477">
        <f t="shared" si="58"/>
        <v>168.82017748715555</v>
      </c>
      <c r="C47" s="1477">
        <f t="shared" si="58"/>
        <v>148.06267029972753</v>
      </c>
      <c r="D47" s="1477">
        <f t="shared" si="36"/>
        <v>148.06267029972753</v>
      </c>
      <c r="E47" s="1477">
        <f t="shared" si="59"/>
        <v>216.46288379323747</v>
      </c>
      <c r="F47" s="1477">
        <f t="shared" si="59"/>
        <v>134.23529411764704</v>
      </c>
      <c r="G47" s="4039">
        <v>2007</v>
      </c>
      <c r="H47" s="1464">
        <v>2</v>
      </c>
      <c r="I47" s="1464">
        <v>3.67</v>
      </c>
      <c r="J47" s="1464">
        <v>2.3199999999999998</v>
      </c>
      <c r="K47" s="1464">
        <v>5.0199999999999996</v>
      </c>
      <c r="L47" s="1479">
        <v>6.71</v>
      </c>
      <c r="N47" s="1524">
        <f t="shared" si="56"/>
        <v>3.0339138143848032E-2</v>
      </c>
      <c r="O47" s="1525">
        <f t="shared" si="56"/>
        <v>2.0922341588790472E-2</v>
      </c>
      <c r="P47" s="1525">
        <f t="shared" si="57"/>
        <v>5.6164796592717003E-2</v>
      </c>
      <c r="Q47" s="1525">
        <f t="shared" si="57"/>
        <v>6.5704536723887319E-2</v>
      </c>
      <c r="R47" s="1474"/>
      <c r="S47" s="1472"/>
      <c r="T47" s="1473"/>
      <c r="U47" s="1473"/>
      <c r="V47" s="1473"/>
      <c r="X47" s="1526"/>
      <c r="Y47" s="1526"/>
      <c r="Z47" s="1526"/>
    </row>
    <row r="48" spans="1:26">
      <c r="A48" s="1460" t="s">
        <v>1191</v>
      </c>
      <c r="B48" s="1477">
        <f t="shared" si="58"/>
        <v>163.84913591779542</v>
      </c>
      <c r="C48" s="1477">
        <f t="shared" si="58"/>
        <v>145.0283378746594</v>
      </c>
      <c r="D48" s="1477">
        <f t="shared" si="36"/>
        <v>145.0283378746594</v>
      </c>
      <c r="E48" s="1477">
        <f t="shared" si="59"/>
        <v>204.95180722891567</v>
      </c>
      <c r="F48" s="1477">
        <f t="shared" si="59"/>
        <v>125.95920303605313</v>
      </c>
      <c r="G48" s="4040">
        <v>2007</v>
      </c>
      <c r="H48" s="1463">
        <v>1</v>
      </c>
      <c r="I48" s="1463">
        <v>3.58</v>
      </c>
      <c r="J48" s="1463">
        <v>3.08</v>
      </c>
      <c r="K48" s="1463">
        <v>4.34</v>
      </c>
      <c r="L48" s="1478">
        <v>3.21</v>
      </c>
      <c r="N48" s="1527">
        <f t="shared" si="56"/>
        <v>3.0497710174814063E-2</v>
      </c>
      <c r="O48" s="1528">
        <f t="shared" si="56"/>
        <v>2.8569772160704998E-2</v>
      </c>
      <c r="P48" s="1528">
        <f t="shared" si="57"/>
        <v>5.1034908866234296E-2</v>
      </c>
      <c r="Q48" s="1528">
        <f t="shared" si="57"/>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6"/>
        <v>141</v>
      </c>
      <c r="E49" s="1490">
        <v>195</v>
      </c>
      <c r="F49" s="1491">
        <v>122</v>
      </c>
      <c r="G49" s="4038">
        <v>2006</v>
      </c>
      <c r="H49" s="1482">
        <v>4</v>
      </c>
      <c r="I49" s="1482">
        <v>3.79</v>
      </c>
      <c r="J49" s="1482">
        <v>2.21</v>
      </c>
      <c r="K49" s="1482">
        <v>5.65</v>
      </c>
      <c r="L49" s="1483">
        <v>5.41</v>
      </c>
      <c r="N49" s="1524">
        <f t="shared" ref="N49:O52" si="60">I49/SUM(I$49:I$52)*(B$49/B$53-1)</f>
        <v>7.245466462748526E-2</v>
      </c>
      <c r="O49" s="1525">
        <f t="shared" si="60"/>
        <v>2.3237230038062766E-2</v>
      </c>
      <c r="P49" s="1525">
        <f t="shared" ref="P49:Q52" si="61">K49/SUM(K$49:K$52)*(E$49/E$53-1)</f>
        <v>0.16146893866323722</v>
      </c>
      <c r="Q49" s="1525">
        <f t="shared" si="61"/>
        <v>5.0755230321793784E-2</v>
      </c>
      <c r="R49" s="1474"/>
      <c r="S49" s="1475"/>
      <c r="T49" s="1476"/>
      <c r="U49" s="1476"/>
      <c r="V49" s="1476"/>
      <c r="X49" s="1526"/>
      <c r="Y49" s="1526"/>
      <c r="Z49" s="1526"/>
    </row>
    <row r="50" spans="1:26">
      <c r="A50" s="1460" t="s">
        <v>1193</v>
      </c>
      <c r="B50" s="1477">
        <f t="shared" ref="B50:C52" si="62">B51+(B$49-B$53)*I50/SUM(I$49:I$52)</f>
        <v>149.00125628140702</v>
      </c>
      <c r="C50" s="1477">
        <f t="shared" si="62"/>
        <v>137.95592286501378</v>
      </c>
      <c r="D50" s="1477">
        <f t="shared" si="36"/>
        <v>137.95592286501378</v>
      </c>
      <c r="E50" s="1477">
        <f t="shared" ref="E50:F52" si="63">E51+(E$49-E$53)*K50/SUM(K$49:K$52)</f>
        <v>169.97231450719823</v>
      </c>
      <c r="F50" s="1477">
        <f t="shared" si="63"/>
        <v>116.21390374331551</v>
      </c>
      <c r="G50" s="4039">
        <v>2006</v>
      </c>
      <c r="H50" s="1487">
        <v>3</v>
      </c>
      <c r="I50" s="1487">
        <v>0.92</v>
      </c>
      <c r="J50" s="1487">
        <v>1.08</v>
      </c>
      <c r="K50" s="1487">
        <v>0.73</v>
      </c>
      <c r="L50" s="1488">
        <v>1.08</v>
      </c>
      <c r="N50" s="1524">
        <f t="shared" si="60"/>
        <v>1.7587939698492462E-2</v>
      </c>
      <c r="O50" s="1525">
        <f t="shared" si="60"/>
        <v>1.1355750425840628E-2</v>
      </c>
      <c r="P50" s="1525">
        <f t="shared" si="61"/>
        <v>2.0862358446754544E-2</v>
      </c>
      <c r="Q50" s="1525">
        <f t="shared" si="61"/>
        <v>1.0132282578103011E-2</v>
      </c>
      <c r="R50" s="1474"/>
      <c r="S50" s="1472"/>
      <c r="T50" s="1473"/>
      <c r="U50" s="1473"/>
      <c r="V50" s="1473"/>
      <c r="X50" s="1526"/>
      <c r="Y50" s="1526"/>
      <c r="Z50" s="1526"/>
    </row>
    <row r="51" spans="1:26">
      <c r="A51" s="1460" t="s">
        <v>1194</v>
      </c>
      <c r="B51" s="1477">
        <f t="shared" si="62"/>
        <v>146.57412060301507</v>
      </c>
      <c r="C51" s="1477">
        <f t="shared" si="62"/>
        <v>136.46831955922866</v>
      </c>
      <c r="D51" s="1477">
        <f t="shared" si="36"/>
        <v>136.46831955922866</v>
      </c>
      <c r="E51" s="1477">
        <f t="shared" si="63"/>
        <v>166.73864894795128</v>
      </c>
      <c r="F51" s="1477">
        <f t="shared" si="63"/>
        <v>115.05882352941177</v>
      </c>
      <c r="G51" s="4039">
        <v>2006</v>
      </c>
      <c r="H51" s="1464">
        <v>2</v>
      </c>
      <c r="I51" s="1464">
        <v>0.96</v>
      </c>
      <c r="J51" s="1464">
        <v>0.25</v>
      </c>
      <c r="K51" s="1464">
        <v>1.9</v>
      </c>
      <c r="L51" s="1479">
        <v>0.95</v>
      </c>
      <c r="N51" s="1524">
        <f t="shared" si="60"/>
        <v>1.8352632728861701E-2</v>
      </c>
      <c r="O51" s="1525">
        <f t="shared" si="60"/>
        <v>2.6286459319075526E-3</v>
      </c>
      <c r="P51" s="1525">
        <f t="shared" si="61"/>
        <v>5.4299289107991269E-2</v>
      </c>
      <c r="Q51" s="1525">
        <f t="shared" si="61"/>
        <v>8.9126559714794995E-3</v>
      </c>
      <c r="R51" s="1474"/>
      <c r="S51" s="1472"/>
      <c r="T51" s="1473"/>
      <c r="U51" s="1473"/>
      <c r="V51" s="1473"/>
      <c r="X51" s="1526"/>
      <c r="Y51" s="1526"/>
      <c r="Z51" s="1526"/>
    </row>
    <row r="52" spans="1:26">
      <c r="A52" s="1460" t="s">
        <v>1195</v>
      </c>
      <c r="B52" s="1477">
        <f t="shared" si="62"/>
        <v>144.04145728643215</v>
      </c>
      <c r="C52" s="1477">
        <f t="shared" si="62"/>
        <v>136.12396694214877</v>
      </c>
      <c r="D52" s="1477">
        <f t="shared" si="36"/>
        <v>136.12396694214877</v>
      </c>
      <c r="E52" s="1477">
        <f t="shared" si="63"/>
        <v>158.32225913621264</v>
      </c>
      <c r="F52" s="1477">
        <f t="shared" si="63"/>
        <v>114.04278074866311</v>
      </c>
      <c r="G52" s="4040">
        <v>2006</v>
      </c>
      <c r="H52" s="1463">
        <v>1</v>
      </c>
      <c r="I52" s="1463">
        <v>2.29</v>
      </c>
      <c r="J52" s="1463">
        <v>3.72</v>
      </c>
      <c r="K52" s="1463">
        <v>0.75</v>
      </c>
      <c r="L52" s="1478">
        <v>0.04</v>
      </c>
      <c r="N52" s="1527">
        <f t="shared" si="60"/>
        <v>4.3778675988638847E-2</v>
      </c>
      <c r="O52" s="1528">
        <f t="shared" si="60"/>
        <v>3.9114251466784385E-2</v>
      </c>
      <c r="P52" s="1528">
        <f t="shared" si="61"/>
        <v>2.1433929911049188E-2</v>
      </c>
      <c r="Q52" s="1528">
        <f t="shared" si="61"/>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6"/>
        <v>131</v>
      </c>
      <c r="E53" s="1490">
        <v>155</v>
      </c>
      <c r="F53" s="1491">
        <v>114</v>
      </c>
      <c r="G53" s="4038">
        <v>2005</v>
      </c>
      <c r="H53" s="1482">
        <v>4</v>
      </c>
      <c r="I53" s="1482">
        <v>3.29</v>
      </c>
      <c r="J53" s="1482">
        <v>1.44</v>
      </c>
      <c r="K53" s="1482">
        <v>0.66</v>
      </c>
      <c r="L53" s="1483">
        <v>7.78</v>
      </c>
      <c r="N53" s="1524">
        <f t="shared" ref="N53:O56" si="64">I53/SUM(I$53:I$56)*(B$53/B$57-1)</f>
        <v>9.9404603216919935E-2</v>
      </c>
      <c r="O53" s="1525">
        <f t="shared" si="64"/>
        <v>4.7636550760861554E-2</v>
      </c>
      <c r="P53" s="1525">
        <f t="shared" ref="P53:Q56" si="65">K53/SUM(K$53:K$56)*(E$53/E$57-1)</f>
        <v>8.3756345177664976E-2</v>
      </c>
      <c r="Q53" s="1525">
        <f t="shared" si="65"/>
        <v>5.2148766661559584E-2</v>
      </c>
      <c r="R53" s="1474"/>
      <c r="S53" s="1475"/>
      <c r="T53" s="1476"/>
      <c r="U53" s="1476"/>
      <c r="V53" s="1476"/>
      <c r="X53" s="1526"/>
      <c r="Y53" s="1526"/>
      <c r="Z53" s="1526"/>
    </row>
    <row r="54" spans="1:26">
      <c r="A54" s="1460" t="s">
        <v>1197</v>
      </c>
      <c r="B54" s="1477">
        <f t="shared" ref="B54:C56" si="66">B55+(B$53-B$57)*I54/SUM(I$53:I$56)</f>
        <v>125.9720430107527</v>
      </c>
      <c r="C54" s="1477">
        <f t="shared" si="66"/>
        <v>125.1883408071749</v>
      </c>
      <c r="D54" s="1477">
        <f t="shared" si="36"/>
        <v>125.1883408071749</v>
      </c>
      <c r="E54" s="1477">
        <f t="shared" ref="E54:F56" si="67">E55+(E$53-E$57)*K54/SUM(K$53:K$56)</f>
        <v>144.61421319796952</v>
      </c>
      <c r="F54" s="1477">
        <f t="shared" si="67"/>
        <v>108.42008196721311</v>
      </c>
      <c r="G54" s="4039">
        <v>2005</v>
      </c>
      <c r="H54" s="1487">
        <v>3</v>
      </c>
      <c r="I54" s="1487">
        <v>0.46</v>
      </c>
      <c r="J54" s="1487">
        <v>0.32</v>
      </c>
      <c r="K54" s="1487">
        <v>0.42</v>
      </c>
      <c r="L54" s="1488">
        <v>0.64</v>
      </c>
      <c r="N54" s="1524">
        <f t="shared" si="64"/>
        <v>1.3898515951301874E-2</v>
      </c>
      <c r="O54" s="1525">
        <f t="shared" si="64"/>
        <v>1.0585900169080346E-2</v>
      </c>
      <c r="P54" s="1525">
        <f t="shared" si="65"/>
        <v>5.3299492385786795E-2</v>
      </c>
      <c r="Q54" s="1525">
        <f t="shared" si="65"/>
        <v>4.2898728359123568E-3</v>
      </c>
      <c r="R54" s="1474"/>
      <c r="S54" s="1472"/>
      <c r="T54" s="1473"/>
      <c r="U54" s="1473"/>
      <c r="V54" s="1473"/>
      <c r="X54" s="1526"/>
      <c r="Y54" s="1526"/>
      <c r="Z54" s="1526"/>
    </row>
    <row r="55" spans="1:26">
      <c r="A55" s="1460" t="s">
        <v>1198</v>
      </c>
      <c r="B55" s="1477">
        <f t="shared" si="66"/>
        <v>124.29032258064517</v>
      </c>
      <c r="C55" s="1477">
        <f t="shared" si="66"/>
        <v>123.8968609865471</v>
      </c>
      <c r="D55" s="1477">
        <f t="shared" si="36"/>
        <v>123.8968609865471</v>
      </c>
      <c r="E55" s="1477">
        <f t="shared" si="67"/>
        <v>138.00507614213197</v>
      </c>
      <c r="F55" s="1477">
        <f t="shared" si="67"/>
        <v>107.96106557377048</v>
      </c>
      <c r="G55" s="4039">
        <v>2005</v>
      </c>
      <c r="H55" s="1464">
        <v>2</v>
      </c>
      <c r="I55" s="1464">
        <v>0.47</v>
      </c>
      <c r="J55" s="1464">
        <v>0.1</v>
      </c>
      <c r="K55" s="1464">
        <v>0.52</v>
      </c>
      <c r="L55" s="1479">
        <v>0.79</v>
      </c>
      <c r="N55" s="1524">
        <f t="shared" si="64"/>
        <v>1.420065760241713E-2</v>
      </c>
      <c r="O55" s="1525">
        <f t="shared" si="64"/>
        <v>3.3080938028376083E-3</v>
      </c>
      <c r="P55" s="1525">
        <f t="shared" si="65"/>
        <v>6.598984771573603E-2</v>
      </c>
      <c r="Q55" s="1525">
        <f t="shared" si="65"/>
        <v>5.2953117818293153E-3</v>
      </c>
      <c r="R55" s="1474"/>
      <c r="S55" s="1472"/>
      <c r="T55" s="1473"/>
      <c r="U55" s="1473"/>
      <c r="V55" s="1473"/>
      <c r="X55" s="1526"/>
      <c r="Y55" s="1526"/>
      <c r="Z55" s="1526"/>
    </row>
    <row r="56" spans="1:26">
      <c r="A56" s="1460" t="s">
        <v>1199</v>
      </c>
      <c r="B56" s="1477">
        <f t="shared" si="66"/>
        <v>122.57204301075269</v>
      </c>
      <c r="C56" s="1477">
        <f t="shared" si="66"/>
        <v>123.4932735426009</v>
      </c>
      <c r="D56" s="1477">
        <f t="shared" si="36"/>
        <v>123.4932735426009</v>
      </c>
      <c r="E56" s="1477">
        <f t="shared" si="67"/>
        <v>129.82233502538071</v>
      </c>
      <c r="F56" s="1477">
        <f t="shared" si="67"/>
        <v>107.39446721311475</v>
      </c>
      <c r="G56" s="4040">
        <v>2005</v>
      </c>
      <c r="H56" s="1463">
        <v>1</v>
      </c>
      <c r="I56" s="1463">
        <v>0.43</v>
      </c>
      <c r="J56" s="1463">
        <v>0.37</v>
      </c>
      <c r="K56" s="1463">
        <v>0.37</v>
      </c>
      <c r="L56" s="1478">
        <v>0.55000000000000004</v>
      </c>
      <c r="N56" s="1527">
        <f t="shared" si="64"/>
        <v>1.2992090997956099E-2</v>
      </c>
      <c r="O56" s="1528">
        <f t="shared" si="64"/>
        <v>1.2239947070499151E-2</v>
      </c>
      <c r="P56" s="1528">
        <f t="shared" si="65"/>
        <v>4.6954314720812178E-2</v>
      </c>
      <c r="Q56" s="1528">
        <f t="shared" si="65"/>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6"/>
        <v>122</v>
      </c>
      <c r="E57" s="1511">
        <v>124</v>
      </c>
      <c r="F57" s="1512">
        <v>107</v>
      </c>
      <c r="G57" s="4038">
        <v>2004</v>
      </c>
      <c r="H57" s="1482">
        <v>4</v>
      </c>
      <c r="I57" s="1482">
        <v>0.33</v>
      </c>
      <c r="J57" s="1482">
        <v>0.5</v>
      </c>
      <c r="K57" s="1482">
        <v>0.5</v>
      </c>
      <c r="L57" s="1483">
        <v>0</v>
      </c>
      <c r="N57" s="1524">
        <f t="shared" ref="N57:O60" si="68">I57/SUM(I$57:I$60)*(B$57/B$61-1)</f>
        <v>1.3391770148526898E-2</v>
      </c>
      <c r="O57" s="1525">
        <f t="shared" si="68"/>
        <v>1.063264221158958E-2</v>
      </c>
      <c r="P57" s="1525">
        <f t="shared" ref="P57:Q60" si="69">K57/SUM(K$57:K$60)*(E$57/E$61-1)</f>
        <v>2.2244466688911134E-2</v>
      </c>
      <c r="Q57" s="1525">
        <f t="shared" si="69"/>
        <v>0</v>
      </c>
      <c r="R57" s="1474"/>
      <c r="S57" s="1475"/>
      <c r="T57" s="1476"/>
      <c r="U57" s="1476"/>
      <c r="V57" s="1476"/>
      <c r="X57" s="1526"/>
      <c r="Y57" s="1526"/>
      <c r="Z57" s="1526"/>
    </row>
    <row r="58" spans="1:26">
      <c r="A58" s="1460" t="s">
        <v>1201</v>
      </c>
      <c r="B58" s="1477">
        <f t="shared" ref="B58:C60" si="70">B59+(B$57-B$61)*I58/SUM(I$57:I$60)</f>
        <v>119.51351351351352</v>
      </c>
      <c r="C58" s="1477">
        <f t="shared" si="70"/>
        <v>120.7878787878788</v>
      </c>
      <c r="D58" s="1477">
        <f t="shared" si="36"/>
        <v>120.7878787878788</v>
      </c>
      <c r="E58" s="1477">
        <f t="shared" ref="E58:F60" si="71">E59+(E$57-E$61)*K58/SUM(K$57:K$60)</f>
        <v>121.5975975975976</v>
      </c>
      <c r="F58" s="1477">
        <f t="shared" si="71"/>
        <v>107</v>
      </c>
      <c r="G58" s="4039">
        <v>2004</v>
      </c>
      <c r="H58" s="1487">
        <v>3</v>
      </c>
      <c r="I58" s="1487">
        <v>0.56000000000000005</v>
      </c>
      <c r="J58" s="1487">
        <v>0.8</v>
      </c>
      <c r="K58" s="1487">
        <v>0.83</v>
      </c>
      <c r="L58" s="1488">
        <v>0.06</v>
      </c>
      <c r="N58" s="1524">
        <f t="shared" si="68"/>
        <v>2.2725428130833527E-2</v>
      </c>
      <c r="O58" s="1525">
        <f t="shared" si="68"/>
        <v>1.7012227538543329E-2</v>
      </c>
      <c r="P58" s="1525">
        <f t="shared" si="69"/>
        <v>3.6925814703592477E-2</v>
      </c>
      <c r="Q58" s="1525">
        <f t="shared" si="69"/>
        <v>2.8846153846153744E-2</v>
      </c>
      <c r="R58" s="1474"/>
      <c r="S58" s="1472"/>
      <c r="T58" s="1473"/>
      <c r="U58" s="1473"/>
      <c r="V58" s="1473"/>
      <c r="X58" s="1526"/>
      <c r="Y58" s="1526"/>
      <c r="Z58" s="1526"/>
    </row>
    <row r="59" spans="1:26">
      <c r="A59" s="1460" t="s">
        <v>1202</v>
      </c>
      <c r="B59" s="1477">
        <f t="shared" si="70"/>
        <v>116.99099099099099</v>
      </c>
      <c r="C59" s="1477">
        <f t="shared" si="70"/>
        <v>118.84848484848486</v>
      </c>
      <c r="D59" s="1477">
        <f t="shared" si="36"/>
        <v>118.84848484848486</v>
      </c>
      <c r="E59" s="1477">
        <f t="shared" si="71"/>
        <v>117.60960960960961</v>
      </c>
      <c r="F59" s="1477">
        <f t="shared" si="71"/>
        <v>104</v>
      </c>
      <c r="G59" s="4039">
        <v>2004</v>
      </c>
      <c r="H59" s="1464">
        <v>2</v>
      </c>
      <c r="I59" s="1464">
        <v>1</v>
      </c>
      <c r="J59" s="1464">
        <v>1.5</v>
      </c>
      <c r="K59" s="1464">
        <v>1.5</v>
      </c>
      <c r="L59" s="1479">
        <v>0</v>
      </c>
      <c r="N59" s="1524">
        <f t="shared" si="68"/>
        <v>4.0581121662202721E-2</v>
      </c>
      <c r="O59" s="1525">
        <f t="shared" si="68"/>
        <v>3.1897926634768738E-2</v>
      </c>
      <c r="P59" s="1525">
        <f t="shared" si="69"/>
        <v>6.6733400066733395E-2</v>
      </c>
      <c r="Q59" s="1525">
        <f t="shared" si="69"/>
        <v>0</v>
      </c>
      <c r="R59" s="1474"/>
      <c r="S59" s="1472"/>
      <c r="T59" s="1473"/>
      <c r="U59" s="1473"/>
      <c r="V59" s="1473"/>
      <c r="X59" s="1526"/>
      <c r="Y59" s="1526"/>
      <c r="Z59" s="1526"/>
    </row>
    <row r="60" spans="1:26" s="1517" customFormat="1" ht="13.5" thickBot="1">
      <c r="A60" s="1460" t="s">
        <v>1203</v>
      </c>
      <c r="B60" s="1514">
        <f t="shared" si="70"/>
        <v>112.48648648648648</v>
      </c>
      <c r="C60" s="1514">
        <f t="shared" si="70"/>
        <v>115.21212121212122</v>
      </c>
      <c r="D60" s="1514">
        <f t="shared" si="36"/>
        <v>115.21212121212122</v>
      </c>
      <c r="E60" s="1514">
        <f t="shared" si="71"/>
        <v>110.4024024024024</v>
      </c>
      <c r="F60" s="1514">
        <f t="shared" si="71"/>
        <v>104</v>
      </c>
      <c r="G60" s="4040">
        <v>2004</v>
      </c>
      <c r="H60" s="1515">
        <v>1</v>
      </c>
      <c r="I60" s="1515">
        <v>0.33</v>
      </c>
      <c r="J60" s="1515">
        <v>0.5</v>
      </c>
      <c r="K60" s="1515">
        <v>0.5</v>
      </c>
      <c r="L60" s="1516">
        <v>0</v>
      </c>
      <c r="N60" s="1529">
        <f t="shared" si="68"/>
        <v>1.3391770148526898E-2</v>
      </c>
      <c r="O60" s="1530">
        <f t="shared" si="68"/>
        <v>1.063264221158958E-2</v>
      </c>
      <c r="P60" s="1530">
        <f t="shared" si="69"/>
        <v>2.2244466688911134E-2</v>
      </c>
      <c r="Q60" s="1530">
        <f t="shared" si="69"/>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6"/>
        <v>114</v>
      </c>
      <c r="E61" s="1532">
        <v>108</v>
      </c>
      <c r="F61" s="1533">
        <v>104</v>
      </c>
      <c r="G61" s="4038">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2">B63+(B$61-B$65)/4</f>
        <v>109.75</v>
      </c>
      <c r="C62" s="1536">
        <f t="shared" si="72"/>
        <v>112.25</v>
      </c>
      <c r="D62" s="1536">
        <f t="shared" si="36"/>
        <v>112.25</v>
      </c>
      <c r="E62" s="1536">
        <f t="shared" ref="E62:F64" si="73">E63+(E$61-E$65)/4</f>
        <v>107.25</v>
      </c>
      <c r="F62" s="1536">
        <f t="shared" si="73"/>
        <v>103.5</v>
      </c>
      <c r="G62" s="4039">
        <v>2003</v>
      </c>
      <c r="H62" s="1487">
        <v>3</v>
      </c>
      <c r="I62" s="1534"/>
      <c r="J62" s="1534"/>
      <c r="K62" s="1534"/>
      <c r="L62" s="1534"/>
      <c r="X62" s="1526"/>
      <c r="Y62" s="1526"/>
      <c r="Z62" s="1526"/>
    </row>
    <row r="63" spans="1:26">
      <c r="A63" s="1460" t="s">
        <v>1206</v>
      </c>
      <c r="B63" s="1536">
        <f t="shared" si="72"/>
        <v>108.5</v>
      </c>
      <c r="C63" s="1536">
        <f t="shared" si="72"/>
        <v>110.5</v>
      </c>
      <c r="D63" s="1536">
        <f t="shared" si="36"/>
        <v>110.5</v>
      </c>
      <c r="E63" s="1536">
        <f t="shared" si="73"/>
        <v>106.5</v>
      </c>
      <c r="F63" s="1536">
        <f t="shared" si="73"/>
        <v>103</v>
      </c>
      <c r="G63" s="4039">
        <v>2003</v>
      </c>
      <c r="H63" s="1464">
        <v>2</v>
      </c>
      <c r="I63" s="1534"/>
      <c r="J63" s="1534"/>
      <c r="K63" s="1534"/>
      <c r="L63" s="1534"/>
      <c r="X63" s="1526"/>
      <c r="Y63" s="1526"/>
      <c r="Z63" s="1526"/>
    </row>
    <row r="64" spans="1:26" ht="13.5" thickBot="1">
      <c r="A64" s="1460" t="s">
        <v>1207</v>
      </c>
      <c r="B64" s="1536">
        <f t="shared" si="72"/>
        <v>107.25</v>
      </c>
      <c r="C64" s="1536">
        <f t="shared" si="72"/>
        <v>108.75</v>
      </c>
      <c r="D64" s="1536">
        <f t="shared" si="36"/>
        <v>108.75</v>
      </c>
      <c r="E64" s="1536">
        <f t="shared" si="73"/>
        <v>105.75</v>
      </c>
      <c r="F64" s="1536">
        <f t="shared" si="73"/>
        <v>102.5</v>
      </c>
      <c r="G64" s="4040">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6"/>
        <v>107</v>
      </c>
      <c r="E65" s="1538">
        <v>105</v>
      </c>
      <c r="F65" s="1539">
        <v>102</v>
      </c>
      <c r="G65" s="4038">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4">B67+(B$65-B$69)/4</f>
        <v>105</v>
      </c>
      <c r="C66" s="1536">
        <f t="shared" si="74"/>
        <v>106</v>
      </c>
      <c r="D66" s="1536">
        <f t="shared" si="36"/>
        <v>106</v>
      </c>
      <c r="E66" s="1536">
        <f t="shared" ref="E66:F68" si="75">E67+(E$65-E$69)/4</f>
        <v>104.5</v>
      </c>
      <c r="F66" s="1536">
        <f t="shared" si="75"/>
        <v>101.5</v>
      </c>
      <c r="G66" s="4039">
        <v>2002</v>
      </c>
      <c r="H66" s="1487">
        <v>3</v>
      </c>
      <c r="I66" s="1534"/>
      <c r="J66" s="1534"/>
      <c r="K66" s="1534"/>
      <c r="L66" s="1534"/>
      <c r="X66" s="1526"/>
      <c r="Y66" s="1526"/>
      <c r="Z66" s="1526"/>
    </row>
    <row r="67" spans="1:26">
      <c r="A67" s="1460" t="s">
        <v>1210</v>
      </c>
      <c r="B67" s="1536">
        <f t="shared" si="74"/>
        <v>104</v>
      </c>
      <c r="C67" s="1536">
        <f t="shared" si="74"/>
        <v>105</v>
      </c>
      <c r="D67" s="1536">
        <f t="shared" si="36"/>
        <v>105</v>
      </c>
      <c r="E67" s="1536">
        <f t="shared" si="75"/>
        <v>104</v>
      </c>
      <c r="F67" s="1536">
        <f t="shared" si="75"/>
        <v>101</v>
      </c>
      <c r="G67" s="4039">
        <v>2002</v>
      </c>
      <c r="H67" s="1464">
        <v>2</v>
      </c>
      <c r="I67" s="1534"/>
      <c r="J67" s="1534"/>
      <c r="K67" s="1534"/>
      <c r="L67" s="1534"/>
      <c r="X67" s="1526"/>
      <c r="Y67" s="1526"/>
      <c r="Z67" s="1526"/>
    </row>
    <row r="68" spans="1:26" s="1498" customFormat="1" ht="13.5" thickBot="1">
      <c r="A68" s="1494" t="s">
        <v>1211</v>
      </c>
      <c r="B68" s="1540">
        <f t="shared" si="74"/>
        <v>103</v>
      </c>
      <c r="C68" s="1540">
        <f t="shared" si="74"/>
        <v>104</v>
      </c>
      <c r="D68" s="1540">
        <f t="shared" si="36"/>
        <v>104</v>
      </c>
      <c r="E68" s="1540">
        <f t="shared" si="75"/>
        <v>103.5</v>
      </c>
      <c r="F68" s="1540">
        <f t="shared" si="75"/>
        <v>100.5</v>
      </c>
      <c r="G68" s="4040">
        <v>2002</v>
      </c>
      <c r="H68" s="1541">
        <v>1</v>
      </c>
      <c r="I68" s="1542"/>
      <c r="J68" s="1542"/>
      <c r="K68" s="1542"/>
      <c r="L68" s="1542"/>
      <c r="N68" s="1543"/>
      <c r="S68" s="1543"/>
      <c r="X68" s="1544"/>
      <c r="Y68" s="1544"/>
      <c r="Z68" s="1544"/>
    </row>
    <row r="69" spans="1:26" ht="13.5" thickBot="1">
      <c r="B69" s="1545">
        <v>102</v>
      </c>
      <c r="C69" s="1546">
        <v>103</v>
      </c>
      <c r="D69" s="1546">
        <f t="shared" si="36"/>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3005</v>
      </c>
      <c r="C1" s="4049" t="s">
        <v>3006</v>
      </c>
      <c r="D1" s="4050"/>
      <c r="E1" s="4050"/>
      <c r="F1" s="4050"/>
      <c r="G1" s="4050"/>
      <c r="H1" s="4050"/>
      <c r="I1" s="4050"/>
      <c r="J1" s="4050"/>
      <c r="K1" s="4050"/>
      <c r="L1" s="4050"/>
      <c r="M1" s="4050"/>
      <c r="N1" s="4050"/>
      <c r="O1" s="4050"/>
      <c r="P1" s="4050"/>
      <c r="Q1" s="4050"/>
      <c r="R1" s="4050"/>
      <c r="S1" s="4051"/>
      <c r="T1" s="1203" t="s">
        <v>3007</v>
      </c>
    </row>
    <row r="2" spans="1:45" s="707" customFormat="1">
      <c r="A2" s="1204"/>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9" t="s">
        <v>3009</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70" t="s">
        <v>3010</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70" t="s">
        <v>3011</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9" t="s">
        <v>3012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9" t="s">
        <v>3013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9" t="s">
        <v>3014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7" t="s">
        <v>3017</v>
      </c>
      <c r="E19" s="1792"/>
      <c r="F19" s="1792"/>
      <c r="G19" s="1792"/>
      <c r="H19" s="1279"/>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3"/>
      <c r="F20" s="1203" t="e">
        <f ca="1">SUMIF(INDIRECT("'"&amp;H20&amp;"'"&amp;"!A:A"),"承租人权益价值",INDIRECT("'"&amp;H20&amp;"'"&amp;"!c:c"))</f>
        <v>#REF!</v>
      </c>
      <c r="G20" s="1203"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839" t="s">
        <v>33</v>
      </c>
      <c r="D22" s="3840"/>
      <c r="E22" s="3840"/>
      <c r="F22" s="3840"/>
      <c r="G22" s="3840"/>
      <c r="H22" s="3840"/>
      <c r="I22" s="3840"/>
      <c r="J22" s="3840"/>
      <c r="K22" s="3840"/>
      <c r="L22" s="3840"/>
      <c r="M22" s="3840"/>
      <c r="N22" s="3840"/>
      <c r="O22" s="3840"/>
      <c r="P22" s="3840"/>
      <c r="Q22" s="404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83368</v>
      </c>
      <c r="C2" s="2" t="s">
        <v>133</v>
      </c>
      <c r="D2" s="243"/>
      <c r="E2" s="243"/>
      <c r="F2" s="243"/>
      <c r="G2" s="243"/>
    </row>
    <row r="3" spans="1:7" s="244" customFormat="1" ht="18" customHeight="1" thickBot="1">
      <c r="A3" s="247" t="s">
        <v>85</v>
      </c>
      <c r="B3" s="248">
        <f ca="1">ROUND(B2*10000/'数据-汇总表'!E3,0)</f>
        <v>10441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1597</v>
      </c>
      <c r="D10" s="1031">
        <f>'数据-汇总表'!E6</f>
        <v>79847.06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1597</v>
      </c>
      <c r="D19" s="1035">
        <f>'数据-汇总表'!E3</f>
        <v>79847.06</v>
      </c>
      <c r="E19" s="255">
        <f>'数据-取费表'!B31</f>
        <v>200</v>
      </c>
      <c r="F19" s="275"/>
      <c r="G19" s="1" t="s">
        <v>1074</v>
      </c>
    </row>
    <row r="20" spans="1:7" s="258" customFormat="1" ht="13.5" customHeight="1">
      <c r="A20" s="947" t="s">
        <v>1057</v>
      </c>
      <c r="B20" s="254" t="s">
        <v>104</v>
      </c>
      <c r="C20" s="276">
        <f>ROUND((C5+C19)*F20,0)</f>
        <v>666</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2077</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1900</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147</v>
      </c>
      <c r="D24" s="282"/>
      <c r="E24" s="282"/>
      <c r="F24" s="283"/>
      <c r="G24" s="284" t="s">
        <v>109</v>
      </c>
    </row>
    <row r="25" spans="1:7" s="258" customFormat="1" ht="24">
      <c r="A25" s="950" t="s">
        <v>793</v>
      </c>
      <c r="B25" s="259" t="s">
        <v>1058</v>
      </c>
      <c r="C25" s="1354">
        <f ca="1">ROUND(IF('数据-取费表'!B22&lt;=1,C20*F22*'数据-取费表'!B23/2,C20*(POWER((1+F22),'数据-取费表'!B23/2)-1)),0)</f>
        <v>30</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5215</v>
      </c>
      <c r="D27" s="279">
        <f>C29</f>
        <v>6.7999999999999996E-3</v>
      </c>
      <c r="E27" s="280" t="s">
        <v>126</v>
      </c>
      <c r="F27" s="290">
        <f>'数据-取费表'!Q16</f>
        <v>0.24</v>
      </c>
      <c r="G27" s="291" t="s">
        <v>1069</v>
      </c>
    </row>
    <row r="28" spans="1:7" s="258" customFormat="1" ht="13.5" customHeight="1">
      <c r="A28" s="950" t="s">
        <v>794</v>
      </c>
      <c r="B28" s="292" t="s">
        <v>1062</v>
      </c>
      <c r="C28" s="293">
        <f>ROUND((C5+C19+C20)*F27*'数据-取费表'!B21/'数据-取费表'!B20,0)</f>
        <v>5215</v>
      </c>
      <c r="D28" s="279"/>
      <c r="E28" s="280"/>
      <c r="F28" s="290"/>
      <c r="G28" s="291"/>
    </row>
    <row r="29" spans="1:7" s="258" customFormat="1" ht="13.5" customHeight="1">
      <c r="A29" s="950" t="s">
        <v>792</v>
      </c>
      <c r="B29" s="292" t="s">
        <v>1063</v>
      </c>
      <c r="C29" s="282">
        <f>ROUND(C21*F27*'数据-取费表'!B21/'数据-取费表'!B20,4)</f>
        <v>6.7999999999999996E-3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33170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34474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31492</v>
      </c>
      <c r="D34" s="261"/>
      <c r="E34" s="264"/>
      <c r="F34" s="301">
        <f>IF('数据-取费表'!B24=0,1,'数据-取费表'!N16)</f>
        <v>0.98</v>
      </c>
      <c r="G34" s="263" t="s">
        <v>116</v>
      </c>
    </row>
    <row r="35" spans="1:7" ht="13.5" customHeight="1">
      <c r="A35" s="950" t="s">
        <v>796</v>
      </c>
      <c r="B35" s="259" t="s">
        <v>60</v>
      </c>
      <c r="C35" s="264">
        <f>ROUND(C34*F35,0)</f>
        <v>945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1565</v>
      </c>
      <c r="D37" s="261">
        <f>'数据-汇总表'!E3</f>
        <v>79847.06</v>
      </c>
      <c r="E37" s="293">
        <f>'数据-取费表'!B35</f>
        <v>200</v>
      </c>
      <c r="F37" s="303"/>
      <c r="G37" s="305" t="s">
        <v>119</v>
      </c>
    </row>
    <row r="38" spans="1:7" ht="13.5" customHeight="1">
      <c r="A38" s="950" t="s">
        <v>799</v>
      </c>
      <c r="B38" s="259" t="s">
        <v>63</v>
      </c>
      <c r="C38" s="264">
        <f>ROUND(C34*F38,0)</f>
        <v>472</v>
      </c>
      <c r="D38" s="264"/>
      <c r="E38" s="264"/>
      <c r="F38" s="303">
        <f>'数据-取费表'!B36</f>
        <v>1.4999999999999999E-2</v>
      </c>
      <c r="G38" s="263" t="s">
        <v>117</v>
      </c>
    </row>
    <row r="39" spans="1:7" s="258" customFormat="1" ht="13.5" customHeight="1">
      <c r="A39" s="947" t="s">
        <v>783</v>
      </c>
      <c r="B39" s="254" t="s">
        <v>104</v>
      </c>
      <c r="C39" s="276">
        <f>ROUND(C33*F20,0)</f>
        <v>1034</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1601</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1554</v>
      </c>
      <c r="D42" s="282"/>
      <c r="E42" s="282"/>
      <c r="F42" s="283"/>
      <c r="G42" s="3895" t="s">
        <v>121</v>
      </c>
    </row>
    <row r="43" spans="1:7" ht="13.5" customHeight="1">
      <c r="A43" s="950" t="s">
        <v>792</v>
      </c>
      <c r="B43" s="259" t="s">
        <v>1064</v>
      </c>
      <c r="C43" s="282">
        <f ca="1">ROUND(IF('数据-取费表'!B22&lt;=1,C39*F22*'数据-取费表'!B21/2,C39*(POWER((1+F22),'数据-取费表'!B21/2)-1)),0)</f>
        <v>47</v>
      </c>
      <c r="D43" s="282"/>
      <c r="E43" s="282"/>
      <c r="F43" s="283"/>
      <c r="G43" s="3896"/>
    </row>
    <row r="44" spans="1:7" ht="13.5" customHeight="1">
      <c r="A44" s="950" t="s">
        <v>793</v>
      </c>
      <c r="B44" s="259" t="s">
        <v>1066</v>
      </c>
      <c r="C44" s="282">
        <f ca="1">ROUND(IF('数据-取费表'!B22&lt;=1,C40*F22*'数据-取费表'!B21/2,C40*(POWER((1+F22),'数据-取费表'!B21/2)-1)),4)</f>
        <v>1.4E-3</v>
      </c>
      <c r="D44" s="282"/>
      <c r="E44" s="282"/>
      <c r="F44" s="283"/>
      <c r="G44" s="3897"/>
    </row>
    <row r="45" spans="1:7" s="258" customFormat="1" ht="13.5" customHeight="1">
      <c r="A45" s="947" t="s">
        <v>786</v>
      </c>
      <c r="B45" s="288" t="s">
        <v>112</v>
      </c>
      <c r="C45" s="289">
        <f>C46</f>
        <v>8522</v>
      </c>
      <c r="D45" s="279">
        <f>C47</f>
        <v>7.1999999999999998E-3</v>
      </c>
      <c r="E45" s="280" t="s">
        <v>129</v>
      </c>
      <c r="F45" s="290"/>
      <c r="G45" s="291" t="s">
        <v>1072</v>
      </c>
    </row>
    <row r="46" spans="1:7" s="258" customFormat="1" ht="13.5" customHeight="1">
      <c r="A46" s="950" t="s">
        <v>794</v>
      </c>
      <c r="B46" s="292" t="s">
        <v>1065</v>
      </c>
      <c r="C46" s="293">
        <f>ROUND((C33+C39)*F27,0)</f>
        <v>8522</v>
      </c>
      <c r="D46" s="307"/>
      <c r="E46" s="280"/>
      <c r="F46" s="290"/>
      <c r="G46" s="291"/>
    </row>
    <row r="47" spans="1:7" s="258" customFormat="1" ht="13.5" customHeight="1">
      <c r="A47" s="950" t="s">
        <v>792</v>
      </c>
      <c r="B47" s="292" t="s">
        <v>1067</v>
      </c>
      <c r="C47" s="282">
        <f>ROUND(C40*F27,4)</f>
        <v>7.1999999999999998E-3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50198</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50198</v>
      </c>
      <c r="D51" s="276"/>
      <c r="E51" s="276"/>
      <c r="F51" s="308"/>
      <c r="G51" s="278" t="s">
        <v>64</v>
      </c>
    </row>
    <row r="52" spans="1:7" s="252" customFormat="1" ht="16.5" thickBot="1">
      <c r="A52" s="309" t="s">
        <v>65</v>
      </c>
      <c r="B52" s="310"/>
      <c r="C52" s="311">
        <f ca="1">C31+C51</f>
        <v>83368</v>
      </c>
      <c r="D52" s="310"/>
      <c r="E52" s="310"/>
      <c r="F52" s="310"/>
      <c r="G52" s="312"/>
    </row>
    <row r="55" spans="1:7" ht="15">
      <c r="B55" s="314" t="s">
        <v>66</v>
      </c>
      <c r="C55" s="315"/>
    </row>
    <row r="56" spans="1:7">
      <c r="B56" s="317" t="s">
        <v>67</v>
      </c>
      <c r="C56" s="318">
        <f ca="1">ROUND(C51/C52,3)</f>
        <v>0.60199999999999998</v>
      </c>
    </row>
    <row r="57" spans="1:7">
      <c r="B57" s="317" t="s">
        <v>68</v>
      </c>
      <c r="C57" s="319">
        <f ca="1">1-C56</f>
        <v>0.39800000000000002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49" workbookViewId="0">
      <selection activeCell="F110" sqref="F110:F157"/>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4052" t="s">
        <v>156</v>
      </c>
      <c r="B1" s="4052"/>
      <c r="C1" s="4052"/>
      <c r="D1" s="4052"/>
      <c r="E1" s="4052"/>
      <c r="F1" s="405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4053" t="s">
        <v>169</v>
      </c>
      <c r="B2" s="4053"/>
      <c r="C2" s="4053"/>
      <c r="D2" s="4053"/>
      <c r="E2" s="4053"/>
      <c r="F2" s="405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405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405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678" t="str">
        <f>IF(项目基本情况!B9="房地产市场价值","估价结果一览表","结果表-2")</f>
        <v>结果表-2</v>
      </c>
      <c r="B1" s="3678"/>
      <c r="C1" s="3678"/>
      <c r="D1" s="3678"/>
      <c r="E1" s="3678"/>
      <c r="F1" s="3678"/>
      <c r="G1" s="3678"/>
      <c r="H1" s="3678"/>
      <c r="I1" s="3678"/>
    </row>
    <row r="2" spans="1:9" ht="30" customHeight="1" thickTop="1">
      <c r="A2" s="3679" t="s">
        <v>1643</v>
      </c>
      <c r="B2" s="3679" t="s">
        <v>1644</v>
      </c>
      <c r="C2" s="3679" t="s">
        <v>1645</v>
      </c>
      <c r="D2" s="3679" t="str">
        <f>结果表!D116</f>
        <v>出让国有建设用地使用权价值</v>
      </c>
      <c r="E2" s="3679"/>
      <c r="F2" s="3679" t="str">
        <f>结果表!F116</f>
        <v>在建建筑物价值</v>
      </c>
      <c r="G2" s="3679"/>
      <c r="H2" s="3679" t="str">
        <f>IF(项目基本情况!B9="房地产市场价值","房地产市场价值","房地产价值")</f>
        <v>房地产价值</v>
      </c>
      <c r="I2" s="3679"/>
    </row>
    <row r="3" spans="1:9" ht="15">
      <c r="A3" s="3673"/>
      <c r="B3" s="3673"/>
      <c r="C3" s="3673"/>
      <c r="D3" s="1043" t="s">
        <v>1640</v>
      </c>
      <c r="E3" s="1043" t="s">
        <v>1646</v>
      </c>
      <c r="F3" s="1043" t="s">
        <v>1640</v>
      </c>
      <c r="G3" s="1043" t="s">
        <v>1641</v>
      </c>
      <c r="H3" s="1043" t="s">
        <v>1640</v>
      </c>
      <c r="I3" s="1043" t="s">
        <v>1641</v>
      </c>
    </row>
    <row r="4" spans="1:9" ht="30">
      <c r="A4" s="1973" t="str">
        <f>项目基本情况!S2</f>
        <v>出让国有建设用地使用权及在建建筑物房地产</v>
      </c>
      <c r="B4" s="1043">
        <f>项目基本情况!C17</f>
        <v>79847.06</v>
      </c>
      <c r="C4" s="1043">
        <f>项目基本情况!C18</f>
        <v>15080.97</v>
      </c>
      <c r="D4" s="1043" t="e">
        <f ca="1">结果表!D118</f>
        <v>#REF!</v>
      </c>
      <c r="E4" s="1043" t="e">
        <f ca="1">结果表!E118</f>
        <v>#REF!</v>
      </c>
      <c r="F4" s="1043" t="e">
        <f ca="1">结果表!F118</f>
        <v>#REF!</v>
      </c>
      <c r="G4" s="1043" t="e">
        <f ca="1">结果表!G118</f>
        <v>#REF!</v>
      </c>
      <c r="H4" s="1043">
        <f ca="1">结果表!H118</f>
        <v>217994</v>
      </c>
      <c r="I4" s="1043">
        <f ca="1">结果表!I118</f>
        <v>27301</v>
      </c>
    </row>
    <row r="5" spans="1:9" ht="30" customHeight="1">
      <c r="A5" s="3673" t="s">
        <v>1642</v>
      </c>
      <c r="B5" s="3673"/>
      <c r="C5" s="3673"/>
      <c r="D5" s="3674" t="e">
        <f ca="1">结果表!D119</f>
        <v>#REF!</v>
      </c>
      <c r="E5" s="3674"/>
      <c r="F5" s="3674" t="e">
        <f ca="1">结果表!F119</f>
        <v>#REF!</v>
      </c>
      <c r="G5" s="3674"/>
      <c r="H5" s="3674" t="str">
        <f ca="1">结果表!H119</f>
        <v>贰拾壹亿柒仟玖佰玖拾肆万元整</v>
      </c>
      <c r="I5" s="3674"/>
    </row>
    <row r="6" spans="1:9" ht="15.75">
      <c r="A6" s="3672" t="str">
        <f>结果表!A120</f>
        <v>估价师知悉的法定优先受偿款</v>
      </c>
      <c r="B6" s="3672"/>
      <c r="C6" s="3672"/>
      <c r="D6" s="3672">
        <f>结果表!D120</f>
        <v>0</v>
      </c>
      <c r="E6" s="3672"/>
      <c r="F6" s="3672"/>
      <c r="G6" s="3672"/>
      <c r="H6" s="3672"/>
      <c r="I6" s="3672"/>
    </row>
    <row r="7" spans="1:9" ht="15">
      <c r="A7" s="3673" t="s">
        <v>1642</v>
      </c>
      <c r="B7" s="3673"/>
      <c r="C7" s="3673"/>
      <c r="D7" s="3675" t="str">
        <f>结果表!D121</f>
        <v>零元整</v>
      </c>
      <c r="E7" s="3676"/>
      <c r="F7" s="3676"/>
      <c r="G7" s="3676"/>
      <c r="H7" s="3676"/>
      <c r="I7" s="3677"/>
    </row>
    <row r="8" spans="1:9" ht="15.75">
      <c r="A8" s="3672" t="str">
        <f>结果表!A122</f>
        <v>房地产抵押价值</v>
      </c>
      <c r="B8" s="3672"/>
      <c r="C8" s="3672"/>
      <c r="D8" s="3672">
        <f ca="1">结果表!D122</f>
        <v>217994</v>
      </c>
      <c r="E8" s="3672"/>
      <c r="F8" s="3672"/>
      <c r="G8" s="3672"/>
      <c r="H8" s="3672"/>
      <c r="I8" s="3672"/>
    </row>
    <row r="9" spans="1:9" ht="15">
      <c r="A9" s="3673" t="s">
        <v>1642</v>
      </c>
      <c r="B9" s="3673"/>
      <c r="C9" s="3673"/>
      <c r="D9" s="3674" t="str">
        <f ca="1">结果表!D123</f>
        <v>贰拾壹亿柒仟玖佰玖拾肆万元整</v>
      </c>
      <c r="E9" s="3674"/>
      <c r="F9" s="3674"/>
      <c r="G9" s="3674"/>
      <c r="H9" s="3674"/>
      <c r="I9" s="3674"/>
    </row>
    <row r="10" spans="1:9" ht="15.75">
      <c r="A10" s="3672" t="str">
        <f>结果表!A124</f>
        <v/>
      </c>
      <c r="B10" s="3672"/>
      <c r="C10" s="3672"/>
      <c r="D10" s="3672" t="str">
        <f>结果表!D124</f>
        <v>——</v>
      </c>
      <c r="E10" s="3672"/>
      <c r="F10" s="3672"/>
      <c r="G10" s="3672"/>
      <c r="H10" s="3672"/>
      <c r="I10" s="3672"/>
    </row>
    <row r="11" spans="1:9" ht="15">
      <c r="A11" s="3673" t="s">
        <v>1642</v>
      </c>
      <c r="B11" s="3673"/>
      <c r="C11" s="3673"/>
      <c r="D11" s="3674" t="e">
        <f>结果表!D125</f>
        <v>#VALUE!</v>
      </c>
      <c r="E11" s="3674"/>
      <c r="F11" s="3674"/>
      <c r="G11" s="3674"/>
      <c r="H11" s="3674"/>
      <c r="I11" s="3674"/>
    </row>
    <row r="12" spans="1:9" ht="15.75">
      <c r="A12" s="3672" t="str">
        <f>结果表!A126</f>
        <v/>
      </c>
      <c r="B12" s="3672"/>
      <c r="C12" s="3672"/>
      <c r="D12" s="3672" t="str">
        <f>结果表!D126</f>
        <v>——</v>
      </c>
      <c r="E12" s="3672"/>
      <c r="F12" s="3672"/>
      <c r="G12" s="3672"/>
      <c r="H12" s="3672"/>
      <c r="I12" s="3672"/>
    </row>
    <row r="13" spans="1:9" ht="15.75" thickBot="1">
      <c r="A13" s="3669" t="s">
        <v>1642</v>
      </c>
      <c r="B13" s="3669"/>
      <c r="C13" s="3669"/>
      <c r="D13" s="3670" t="e">
        <f>结果表!D127</f>
        <v>#VALUE!</v>
      </c>
      <c r="E13" s="3670"/>
      <c r="F13" s="3670"/>
      <c r="G13" s="3670"/>
      <c r="H13" s="3670"/>
      <c r="I13" s="3670"/>
    </row>
    <row r="14" spans="1:9" ht="15" thickTop="1">
      <c r="A14" s="3671" t="s">
        <v>1647</v>
      </c>
      <c r="B14" s="3671"/>
      <c r="C14" s="3671"/>
      <c r="D14" s="3671"/>
      <c r="E14" s="3671"/>
      <c r="F14" s="3671"/>
      <c r="G14" s="3671"/>
      <c r="H14" s="3671"/>
      <c r="I14" s="3671"/>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19" workbookViewId="0">
      <selection activeCell="E110" sqref="E110:E144"/>
    </sheetView>
  </sheetViews>
  <sheetFormatPr defaultRowHeight="13.5"/>
  <cols>
    <col min="1" max="1" width="12.625" style="851" customWidth="1"/>
    <col min="2" max="2" width="10.25" style="809" customWidth="1"/>
  </cols>
  <sheetData>
    <row r="1" spans="1:6">
      <c r="A1" s="4052" t="s">
        <v>871</v>
      </c>
      <c r="B1" s="405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43110</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5"/>
  <sheetViews>
    <sheetView topLeftCell="J22" workbookViewId="0">
      <selection activeCell="L265" sqref="L265:M268"/>
    </sheetView>
  </sheetViews>
  <sheetFormatPr defaultRowHeight="13.5"/>
  <cols>
    <col min="1" max="7" width="0" style="3281" hidden="1" customWidth="1"/>
    <col min="8" max="9" width="0" hidden="1" customWidth="1"/>
    <col min="10" max="10" width="13" customWidth="1"/>
    <col min="11" max="11" width="0" hidden="1" customWidth="1"/>
    <col min="12" max="12" width="12.125" customWidth="1"/>
  </cols>
  <sheetData>
    <row r="1" spans="1:22">
      <c r="A1" s="3281" t="s">
        <v>3627</v>
      </c>
      <c r="J1" s="4057" t="s">
        <v>3658</v>
      </c>
      <c r="K1" s="4058"/>
      <c r="L1" s="4058"/>
      <c r="M1" s="4059"/>
      <c r="Q1" s="4060" t="s">
        <v>3812</v>
      </c>
      <c r="R1" s="4061"/>
      <c r="S1" s="4061"/>
      <c r="T1" s="4061"/>
      <c r="U1" s="4062"/>
    </row>
    <row r="2" spans="1:22">
      <c r="A2" s="3281" t="s">
        <v>3278</v>
      </c>
      <c r="B2" s="3281" t="s">
        <v>3628</v>
      </c>
      <c r="C2" s="3281" t="s">
        <v>3279</v>
      </c>
      <c r="G2" s="3281" t="s">
        <v>3629</v>
      </c>
      <c r="J2" s="3285" t="s">
        <v>3635</v>
      </c>
      <c r="K2" s="3285"/>
      <c r="L2" s="3286" t="s">
        <v>3636</v>
      </c>
      <c r="M2" s="3285" t="s">
        <v>3646</v>
      </c>
      <c r="Q2" s="3285" t="s">
        <v>3813</v>
      </c>
      <c r="R2" s="3285" t="s">
        <v>3814</v>
      </c>
      <c r="S2" s="3285" t="s">
        <v>3815</v>
      </c>
      <c r="T2" s="3285" t="s">
        <v>3819</v>
      </c>
      <c r="U2" s="3285" t="s">
        <v>3820</v>
      </c>
    </row>
    <row r="3" spans="1:22">
      <c r="C3" s="3281" t="s">
        <v>3630</v>
      </c>
      <c r="D3" s="3281" t="s">
        <v>3631</v>
      </c>
      <c r="E3" s="3281" t="s">
        <v>3632</v>
      </c>
      <c r="J3" s="3285" t="s">
        <v>3637</v>
      </c>
      <c r="K3" s="3284"/>
      <c r="L3" s="3284">
        <f>SUM(B6:B16)</f>
        <v>1139.27</v>
      </c>
      <c r="M3" s="3287" t="s">
        <v>3647</v>
      </c>
      <c r="Q3" s="3285" t="s">
        <v>3641</v>
      </c>
      <c r="R3" s="3284">
        <v>1</v>
      </c>
      <c r="S3" s="3284">
        <f>'比较法-商业'!C49</f>
        <v>59414</v>
      </c>
      <c r="T3" s="3284">
        <f>L272</f>
        <v>1120.93</v>
      </c>
      <c r="U3" s="3284">
        <f>ROUND(T3*S3/10000,0)</f>
        <v>6660</v>
      </c>
    </row>
    <row r="4" spans="1:22">
      <c r="G4" s="3281" t="s">
        <v>3280</v>
      </c>
      <c r="J4" s="3285" t="s">
        <v>3638</v>
      </c>
      <c r="K4" s="3284"/>
      <c r="L4" s="3284">
        <f>SUM(B18:B27)</f>
        <v>1205.2099999999998</v>
      </c>
      <c r="M4" s="3287" t="s">
        <v>3647</v>
      </c>
      <c r="Q4" s="3285" t="s">
        <v>3816</v>
      </c>
      <c r="R4" s="3284">
        <v>0.5</v>
      </c>
      <c r="S4" s="3284">
        <f>ROUND(S3*R4,0)</f>
        <v>29707</v>
      </c>
      <c r="T4" s="3284">
        <f>L273-L267-L268</f>
        <v>3957.1499999999992</v>
      </c>
      <c r="U4" s="3284">
        <f t="shared" ref="U4:U6" si="0">ROUND(T4*S4/10000,0)</f>
        <v>11756</v>
      </c>
    </row>
    <row r="5" spans="1:22">
      <c r="A5" s="3281" t="s">
        <v>3281</v>
      </c>
      <c r="J5" s="3285" t="s">
        <v>3639</v>
      </c>
      <c r="K5" s="3284"/>
      <c r="L5" s="3284">
        <f>B29</f>
        <v>3957.15</v>
      </c>
      <c r="M5" s="3289" t="s">
        <v>3648</v>
      </c>
      <c r="Q5" s="3285" t="s">
        <v>3817</v>
      </c>
      <c r="R5" s="3284">
        <v>0.6</v>
      </c>
      <c r="S5" s="3284">
        <f>ROUND(S3*R5,0)</f>
        <v>35648</v>
      </c>
      <c r="T5" s="3284">
        <f>L267</f>
        <v>375.02</v>
      </c>
      <c r="U5" s="3284">
        <f t="shared" si="0"/>
        <v>1337</v>
      </c>
    </row>
    <row r="6" spans="1:22">
      <c r="A6" s="3281" t="s">
        <v>3282</v>
      </c>
      <c r="B6" s="3281">
        <v>147.21</v>
      </c>
      <c r="C6" s="3281" t="s">
        <v>3283</v>
      </c>
      <c r="E6" s="3281" t="s">
        <v>3284</v>
      </c>
      <c r="G6" s="3281">
        <v>0.559643</v>
      </c>
      <c r="J6" s="3285" t="s">
        <v>3641</v>
      </c>
      <c r="K6" s="3284"/>
      <c r="L6" s="3284">
        <f>SUM(B31:B34)+SUM(B42:B43)</f>
        <v>1120.93</v>
      </c>
      <c r="M6" s="3289" t="s">
        <v>3649</v>
      </c>
      <c r="Q6" s="3285" t="s">
        <v>3818</v>
      </c>
      <c r="R6" s="3284">
        <f>R5</f>
        <v>0.6</v>
      </c>
      <c r="S6" s="3284">
        <f>ROUND(S3*R6,0)</f>
        <v>35648</v>
      </c>
      <c r="T6" s="3284">
        <f>L268</f>
        <v>3484.15</v>
      </c>
      <c r="U6" s="3284">
        <f t="shared" si="0"/>
        <v>12420</v>
      </c>
    </row>
    <row r="7" spans="1:22">
      <c r="A7" s="3281" t="s">
        <v>3285</v>
      </c>
      <c r="B7" s="3281">
        <v>343.03</v>
      </c>
      <c r="C7" s="3281" t="s">
        <v>3286</v>
      </c>
      <c r="E7" s="3281" t="s">
        <v>3287</v>
      </c>
      <c r="J7" s="3285" t="str">
        <f>A44</f>
        <v>01夹层(00)</v>
      </c>
      <c r="K7" s="3284"/>
      <c r="L7" s="3284">
        <f>B45+B46</f>
        <v>954.47</v>
      </c>
      <c r="M7" s="3288" t="s">
        <v>3650</v>
      </c>
      <c r="Q7" s="4063" t="s">
        <v>3657</v>
      </c>
      <c r="R7" s="4064"/>
      <c r="S7" s="4065"/>
      <c r="T7" s="3586">
        <f>T3+T4+T5+T6</f>
        <v>8937.2499999999982</v>
      </c>
      <c r="U7" s="3586">
        <f>U3+U4+U5+U6</f>
        <v>32173</v>
      </c>
      <c r="V7">
        <f>U7/T7*10000</f>
        <v>35998.769196341163</v>
      </c>
    </row>
    <row r="8" spans="1:22">
      <c r="A8" s="3281" t="s">
        <v>3288</v>
      </c>
      <c r="B8" s="3281">
        <v>54.93</v>
      </c>
      <c r="C8" s="3281" t="s">
        <v>3289</v>
      </c>
      <c r="E8" s="3281" t="s">
        <v>3290</v>
      </c>
      <c r="J8" s="3285" t="str">
        <f>A47</f>
        <v>2层(02)</v>
      </c>
      <c r="K8" s="3284"/>
      <c r="L8" s="3284">
        <f>SUM(B48:B57)</f>
        <v>1696.3400000000001</v>
      </c>
      <c r="M8" s="3288" t="s">
        <v>3650</v>
      </c>
    </row>
    <row r="9" spans="1:22">
      <c r="A9" s="3281" t="s">
        <v>3291</v>
      </c>
      <c r="B9" s="3281">
        <v>51.92</v>
      </c>
      <c r="C9" s="3281" t="s">
        <v>3292</v>
      </c>
      <c r="E9" s="3281" t="s">
        <v>3293</v>
      </c>
      <c r="J9" s="3285" t="str">
        <f>A58</f>
        <v>3层(03)</v>
      </c>
      <c r="K9" s="3284"/>
      <c r="L9" s="3284">
        <f>SUM(B59:B68)</f>
        <v>1696.3400000000001</v>
      </c>
      <c r="M9" s="3288" t="s">
        <v>3650</v>
      </c>
    </row>
    <row r="10" spans="1:22">
      <c r="A10" s="3281" t="s">
        <v>3294</v>
      </c>
      <c r="B10" s="3281">
        <v>51.92</v>
      </c>
      <c r="C10" s="3281" t="s">
        <v>3292</v>
      </c>
      <c r="E10" s="3281" t="s">
        <v>3293</v>
      </c>
      <c r="J10" s="3285" t="str">
        <f>A69</f>
        <v>4层(04)</v>
      </c>
      <c r="K10" s="3284"/>
      <c r="L10" s="3284">
        <f>SUM(B79:B86)+B70+B71</f>
        <v>1712.1499999999999</v>
      </c>
      <c r="M10" s="3288" t="s">
        <v>3650</v>
      </c>
    </row>
    <row r="11" spans="1:22">
      <c r="A11" s="3281" t="s">
        <v>3295</v>
      </c>
      <c r="B11" s="3281">
        <v>40.08</v>
      </c>
      <c r="C11" s="3281" t="s">
        <v>3296</v>
      </c>
      <c r="E11" s="3281" t="s">
        <v>3297</v>
      </c>
      <c r="J11" s="3285" t="str">
        <f>A87</f>
        <v>5层(05)</v>
      </c>
      <c r="K11" s="3284"/>
      <c r="L11" s="3284">
        <f>SUM(B88:B97)</f>
        <v>1712.1499999999999</v>
      </c>
      <c r="M11" s="3288" t="s">
        <v>3650</v>
      </c>
    </row>
    <row r="12" spans="1:22">
      <c r="A12" s="3281" t="s">
        <v>3298</v>
      </c>
      <c r="B12" s="3281">
        <v>26.58</v>
      </c>
      <c r="C12" s="3281" t="s">
        <v>3299</v>
      </c>
      <c r="E12" s="3281" t="s">
        <v>3300</v>
      </c>
      <c r="J12" s="3285" t="str">
        <f>A98</f>
        <v>6层(06)</v>
      </c>
      <c r="K12" s="3284"/>
      <c r="L12" s="3284">
        <f>SUM(B99:B108)</f>
        <v>1712.1499999999999</v>
      </c>
      <c r="M12" s="3288" t="s">
        <v>3650</v>
      </c>
    </row>
    <row r="13" spans="1:22">
      <c r="A13" s="3281" t="s">
        <v>3301</v>
      </c>
      <c r="B13" s="3281">
        <v>149.85</v>
      </c>
      <c r="C13" s="3281" t="s">
        <v>3302</v>
      </c>
      <c r="E13" s="3281" t="s">
        <v>3303</v>
      </c>
      <c r="J13" s="3285" t="str">
        <f>A116</f>
        <v>7层(07)</v>
      </c>
      <c r="K13" s="3284"/>
      <c r="L13" s="3284">
        <f>SUM(B117:B126)</f>
        <v>1712.1499999999999</v>
      </c>
      <c r="M13" s="3288" t="s">
        <v>3650</v>
      </c>
    </row>
    <row r="14" spans="1:22">
      <c r="A14" s="3281" t="s">
        <v>3304</v>
      </c>
      <c r="B14" s="3281">
        <v>42.41</v>
      </c>
      <c r="C14" s="3281" t="s">
        <v>3305</v>
      </c>
      <c r="E14" s="3281" t="s">
        <v>3306</v>
      </c>
      <c r="J14" s="3285" t="str">
        <f>A127</f>
        <v>8层(08)</v>
      </c>
      <c r="K14" s="3284"/>
      <c r="L14" s="3284">
        <f>SUM(B128:B137)</f>
        <v>1727.8200000000002</v>
      </c>
      <c r="M14" s="3288" t="s">
        <v>3650</v>
      </c>
    </row>
    <row r="15" spans="1:22">
      <c r="A15" s="3281" t="s">
        <v>3307</v>
      </c>
      <c r="B15" s="3281">
        <v>54.93</v>
      </c>
      <c r="C15" s="3281" t="s">
        <v>3289</v>
      </c>
      <c r="E15" s="3281" t="s">
        <v>3290</v>
      </c>
      <c r="J15" s="3285" t="str">
        <f>A138</f>
        <v>9层(09)</v>
      </c>
      <c r="K15" s="3284"/>
      <c r="L15" s="3284">
        <f>SUM(B139:B145)+B153+B154+B155</f>
        <v>1727.8200000000002</v>
      </c>
      <c r="M15" s="3288" t="s">
        <v>3650</v>
      </c>
    </row>
    <row r="16" spans="1:22">
      <c r="A16" s="3281" t="s">
        <v>3308</v>
      </c>
      <c r="B16" s="3281">
        <v>176.41</v>
      </c>
      <c r="C16" s="3281" t="s">
        <v>3309</v>
      </c>
      <c r="E16" s="3281" t="s">
        <v>3310</v>
      </c>
      <c r="J16" s="3285" t="str">
        <f>A156</f>
        <v>10层(10)</v>
      </c>
      <c r="K16" s="3284"/>
      <c r="L16" s="3284">
        <f>SUM(B157:B166)</f>
        <v>1727.8200000000002</v>
      </c>
      <c r="M16" s="3288" t="s">
        <v>3650</v>
      </c>
    </row>
    <row r="17" spans="1:13">
      <c r="A17" s="3281" t="s">
        <v>3311</v>
      </c>
      <c r="J17" s="3285" t="str">
        <f>A167</f>
        <v>11层(11)</v>
      </c>
      <c r="K17" s="3284"/>
      <c r="L17" s="3284">
        <f>SUM(B168:B177)</f>
        <v>1727.8200000000002</v>
      </c>
      <c r="M17" s="3288" t="s">
        <v>3650</v>
      </c>
    </row>
    <row r="18" spans="1:13">
      <c r="A18" s="3281" t="s">
        <v>3312</v>
      </c>
      <c r="B18" s="3281">
        <v>271.52999999999997</v>
      </c>
      <c r="C18" s="3281" t="s">
        <v>3313</v>
      </c>
      <c r="E18" s="3281" t="s">
        <v>3314</v>
      </c>
      <c r="J18" s="3285" t="str">
        <f>A178</f>
        <v>12夹层(00)</v>
      </c>
      <c r="K18" s="3284"/>
      <c r="L18" s="3284">
        <f>SUM(B179:B181)</f>
        <v>662.52</v>
      </c>
      <c r="M18" s="3288" t="s">
        <v>3650</v>
      </c>
    </row>
    <row r="19" spans="1:13">
      <c r="A19" s="3281" t="s">
        <v>3315</v>
      </c>
      <c r="B19" s="3281">
        <v>195.83</v>
      </c>
      <c r="C19" s="3281" t="s">
        <v>3316</v>
      </c>
      <c r="E19" s="3281" t="s">
        <v>3317</v>
      </c>
      <c r="J19" s="3285" t="str">
        <f>A182</f>
        <v>13层(13)</v>
      </c>
      <c r="K19" s="3284"/>
      <c r="L19" s="3284">
        <f>SUM(B190:B193)</f>
        <v>1918.1100000000001</v>
      </c>
      <c r="M19" s="3288" t="s">
        <v>3650</v>
      </c>
    </row>
    <row r="20" spans="1:13">
      <c r="A20" s="3281" t="s">
        <v>3318</v>
      </c>
      <c r="B20" s="3281">
        <v>54.93</v>
      </c>
      <c r="C20" s="3281" t="s">
        <v>3289</v>
      </c>
      <c r="E20" s="3281" t="s">
        <v>3290</v>
      </c>
      <c r="J20" s="3285" t="str">
        <f>A194</f>
        <v>14层(14)</v>
      </c>
      <c r="K20" s="3284"/>
      <c r="L20" s="3284">
        <f>B195+B196+B197+B198</f>
        <v>1918.1100000000001</v>
      </c>
      <c r="M20" s="3288" t="s">
        <v>3650</v>
      </c>
    </row>
    <row r="21" spans="1:13">
      <c r="A21" s="3281" t="s">
        <v>3319</v>
      </c>
      <c r="B21" s="3283">
        <v>51.92</v>
      </c>
      <c r="C21" s="3281" t="s">
        <v>3292</v>
      </c>
      <c r="E21" s="3281" t="s">
        <v>3293</v>
      </c>
      <c r="J21" s="3285" t="str">
        <f>A199</f>
        <v>15层(15)</v>
      </c>
      <c r="K21" s="3284"/>
      <c r="L21" s="3284">
        <f>B200+B201+B202+B203</f>
        <v>1918.1100000000001</v>
      </c>
      <c r="M21" s="3288" t="s">
        <v>3650</v>
      </c>
    </row>
    <row r="22" spans="1:13">
      <c r="A22" s="3281" t="s">
        <v>3320</v>
      </c>
      <c r="B22" s="3283">
        <v>51.92</v>
      </c>
      <c r="C22" s="3281" t="s">
        <v>3292</v>
      </c>
      <c r="E22" s="3281" t="s">
        <v>3293</v>
      </c>
      <c r="J22" s="3285" t="str">
        <f>A204</f>
        <v>16层(16)</v>
      </c>
      <c r="K22" s="3284"/>
      <c r="L22" s="3284">
        <f>B205+B206+B207+B208</f>
        <v>1918.1100000000001</v>
      </c>
      <c r="M22" s="3288" t="s">
        <v>3650</v>
      </c>
    </row>
    <row r="23" spans="1:13">
      <c r="A23" s="3281" t="s">
        <v>3321</v>
      </c>
      <c r="B23" s="3283">
        <v>40.08</v>
      </c>
      <c r="C23" s="3281" t="s">
        <v>3296</v>
      </c>
      <c r="E23" s="3281" t="s">
        <v>3297</v>
      </c>
      <c r="J23" s="3285" t="str">
        <f>A209</f>
        <v>17层(17)</v>
      </c>
      <c r="K23" s="3284"/>
      <c r="L23" s="3284">
        <f>B210+B211+B212+B213</f>
        <v>1925</v>
      </c>
      <c r="M23" s="3288" t="s">
        <v>3650</v>
      </c>
    </row>
    <row r="24" spans="1:13">
      <c r="A24" s="3281" t="s">
        <v>3322</v>
      </c>
      <c r="B24" s="3283">
        <v>276.18</v>
      </c>
      <c r="C24" s="3281" t="s">
        <v>3323</v>
      </c>
      <c r="E24" s="3281" t="s">
        <v>3324</v>
      </c>
      <c r="J24" s="3285" t="str">
        <f>A214</f>
        <v>18层(18)</v>
      </c>
      <c r="K24" s="3284"/>
      <c r="L24" s="3284">
        <f>B215+B216+B217+B218</f>
        <v>1925</v>
      </c>
      <c r="M24" s="3288" t="s">
        <v>3650</v>
      </c>
    </row>
    <row r="25" spans="1:13">
      <c r="A25" s="3281" t="s">
        <v>3325</v>
      </c>
      <c r="B25" s="3283">
        <v>42.41</v>
      </c>
      <c r="C25" s="3281" t="s">
        <v>3305</v>
      </c>
      <c r="E25" s="3281" t="s">
        <v>3306</v>
      </c>
      <c r="J25" s="3285" t="str">
        <f>A219</f>
        <v>19层(19)</v>
      </c>
      <c r="K25" s="3284"/>
      <c r="L25" s="3284">
        <f>B227+B228+B229+B230</f>
        <v>1925</v>
      </c>
      <c r="M25" s="3288" t="s">
        <v>3650</v>
      </c>
    </row>
    <row r="26" spans="1:13">
      <c r="A26" s="3281" t="s">
        <v>3326</v>
      </c>
      <c r="B26" s="3283">
        <v>54.93</v>
      </c>
      <c r="C26" s="3281" t="s">
        <v>3289</v>
      </c>
      <c r="E26" s="3281" t="s">
        <v>3290</v>
      </c>
      <c r="J26" s="3285" t="str">
        <f>A231</f>
        <v>20层(20)</v>
      </c>
      <c r="K26" s="3284"/>
      <c r="L26" s="3284">
        <f>B232+B233+B234+B235</f>
        <v>1925</v>
      </c>
      <c r="M26" s="3288" t="s">
        <v>3650</v>
      </c>
    </row>
    <row r="27" spans="1:13">
      <c r="A27" s="3281" t="s">
        <v>3327</v>
      </c>
      <c r="B27" s="3283">
        <v>165.48</v>
      </c>
      <c r="C27" s="3281" t="s">
        <v>3328</v>
      </c>
      <c r="E27" s="3281" t="s">
        <v>3329</v>
      </c>
      <c r="J27" s="3285" t="str">
        <f>A236</f>
        <v>21层(21)</v>
      </c>
      <c r="K27" s="3284"/>
      <c r="L27" s="3284">
        <f>B237+B238+B239+B240</f>
        <v>1925</v>
      </c>
      <c r="M27" s="3288" t="s">
        <v>3650</v>
      </c>
    </row>
    <row r="28" spans="1:13">
      <c r="A28" s="3281" t="s">
        <v>3330</v>
      </c>
      <c r="J28" s="3285" t="str">
        <f>A241</f>
        <v>22层(22)</v>
      </c>
      <c r="K28" s="3284"/>
      <c r="L28" s="3284">
        <f>B242+B243+B244+B245</f>
        <v>1925</v>
      </c>
      <c r="M28" s="3288" t="s">
        <v>3650</v>
      </c>
    </row>
    <row r="29" spans="1:13">
      <c r="A29" s="3281" t="s">
        <v>3331</v>
      </c>
      <c r="B29" s="3283">
        <v>3957.15</v>
      </c>
      <c r="C29" s="3281" t="s">
        <v>3332</v>
      </c>
      <c r="E29" s="3281" t="s">
        <v>3333</v>
      </c>
      <c r="G29" s="3281">
        <v>0.57685699999999995</v>
      </c>
      <c r="J29" s="3285" t="str">
        <f>A246</f>
        <v>24层(24)</v>
      </c>
      <c r="K29" s="3284"/>
      <c r="L29" s="3284">
        <f>B247+B248</f>
        <v>2077.0299999999997</v>
      </c>
      <c r="M29" s="3288" t="s">
        <v>3650</v>
      </c>
    </row>
    <row r="30" spans="1:13">
      <c r="A30" s="3281" t="s">
        <v>3334</v>
      </c>
      <c r="J30" s="3285" t="str">
        <f>A249</f>
        <v>25层(25)</v>
      </c>
      <c r="K30" s="3284"/>
      <c r="L30" s="3284">
        <f>B250+B251</f>
        <v>2077.0299999999997</v>
      </c>
      <c r="M30" s="3288" t="s">
        <v>3650</v>
      </c>
    </row>
    <row r="31" spans="1:13">
      <c r="A31" s="3281" t="s">
        <v>3335</v>
      </c>
      <c r="B31" s="3283">
        <v>294.57</v>
      </c>
      <c r="C31" s="3281" t="s">
        <v>3336</v>
      </c>
      <c r="E31" s="3281" t="s">
        <v>3337</v>
      </c>
      <c r="G31" s="3281">
        <v>0.45174799999999998</v>
      </c>
      <c r="J31" s="3285" t="str">
        <f>A252</f>
        <v>26层(26)</v>
      </c>
      <c r="K31" s="3284"/>
      <c r="L31" s="3284">
        <f>B253+B254</f>
        <v>2083.0300000000002</v>
      </c>
      <c r="M31" s="3288" t="s">
        <v>3650</v>
      </c>
    </row>
    <row r="32" spans="1:13">
      <c r="A32" s="3281" t="s">
        <v>3338</v>
      </c>
      <c r="B32" s="3283">
        <v>118.33</v>
      </c>
      <c r="C32" s="3281" t="s">
        <v>3339</v>
      </c>
      <c r="E32" s="3281" t="s">
        <v>3340</v>
      </c>
      <c r="J32" s="3285" t="str">
        <f>A255</f>
        <v>27层(27)</v>
      </c>
      <c r="K32" s="3284"/>
      <c r="L32" s="3284">
        <f>B256+B264</f>
        <v>2083.0300000000002</v>
      </c>
      <c r="M32" s="3288" t="s">
        <v>3650</v>
      </c>
    </row>
    <row r="33" spans="1:13">
      <c r="A33" s="3281" t="s">
        <v>3341</v>
      </c>
      <c r="B33" s="3283">
        <v>167.46</v>
      </c>
      <c r="C33" s="3281" t="s">
        <v>3342</v>
      </c>
      <c r="E33" s="3281" t="s">
        <v>3343</v>
      </c>
      <c r="J33" s="3285" t="str">
        <f>A265</f>
        <v>28层(28)</v>
      </c>
      <c r="K33" s="3284"/>
      <c r="L33" s="3284">
        <f>B266+B267</f>
        <v>2083.0300000000002</v>
      </c>
      <c r="M33" s="3288" t="s">
        <v>3650</v>
      </c>
    </row>
    <row r="34" spans="1:13">
      <c r="A34" s="3281" t="s">
        <v>3344</v>
      </c>
      <c r="B34" s="3283">
        <v>174.43</v>
      </c>
      <c r="C34" s="3281" t="s">
        <v>3345</v>
      </c>
      <c r="E34" s="3281" t="s">
        <v>3346</v>
      </c>
      <c r="J34" s="3285" t="str">
        <f>A268</f>
        <v>29层(29)</v>
      </c>
      <c r="K34" s="3284"/>
      <c r="L34" s="3284">
        <f>B269+B270</f>
        <v>2088.08</v>
      </c>
      <c r="M34" s="3288" t="s">
        <v>3650</v>
      </c>
    </row>
    <row r="35" spans="1:13">
      <c r="A35" s="3281" t="s">
        <v>3633</v>
      </c>
      <c r="B35" s="3281">
        <v>7056.42</v>
      </c>
      <c r="C35" s="3281">
        <v>4532.66</v>
      </c>
      <c r="E35" s="3281">
        <v>2523.7600000000002</v>
      </c>
      <c r="J35" s="3285" t="str">
        <f>A271</f>
        <v>30层(30)</v>
      </c>
      <c r="K35" s="3284"/>
      <c r="L35" s="3284">
        <f>B272+B273</f>
        <v>2088.08</v>
      </c>
      <c r="M35" s="3288" t="s">
        <v>3650</v>
      </c>
    </row>
    <row r="36" spans="1:13">
      <c r="A36" s="3281" t="s">
        <v>3634</v>
      </c>
      <c r="B36" s="3281">
        <v>70117.27</v>
      </c>
      <c r="C36" s="3281">
        <v>47970.5</v>
      </c>
      <c r="E36" s="3281">
        <v>22146.77</v>
      </c>
      <c r="J36" s="3285" t="str">
        <f>A274</f>
        <v>31层(31)</v>
      </c>
      <c r="K36" s="3284"/>
      <c r="L36" s="3284">
        <f>B275+B276</f>
        <v>2088.08</v>
      </c>
      <c r="M36" s="3288" t="s">
        <v>3650</v>
      </c>
    </row>
    <row r="37" spans="1:13" hidden="1">
      <c r="A37" s="3281" t="s">
        <v>3626</v>
      </c>
      <c r="J37" s="3285" t="s">
        <v>3642</v>
      </c>
      <c r="K37" s="3284"/>
      <c r="L37" s="3284"/>
      <c r="M37" s="3288" t="s">
        <v>3650</v>
      </c>
    </row>
    <row r="38" spans="1:13" hidden="1">
      <c r="A38" s="3281" t="s">
        <v>3627</v>
      </c>
      <c r="J38" s="3285" t="s">
        <v>3643</v>
      </c>
      <c r="K38" s="3284"/>
      <c r="L38" s="3284"/>
      <c r="M38" s="3288" t="s">
        <v>3650</v>
      </c>
    </row>
    <row r="39" spans="1:13" hidden="1">
      <c r="A39" s="3281" t="s">
        <v>3278</v>
      </c>
      <c r="B39" s="3281" t="s">
        <v>3628</v>
      </c>
      <c r="C39" s="3281" t="s">
        <v>3279</v>
      </c>
      <c r="G39" s="3281" t="s">
        <v>3629</v>
      </c>
      <c r="J39" s="3285" t="s">
        <v>3644</v>
      </c>
      <c r="K39" s="3284"/>
      <c r="L39" s="3284"/>
      <c r="M39" s="3288" t="s">
        <v>3650</v>
      </c>
    </row>
    <row r="40" spans="1:13" hidden="1">
      <c r="C40" s="3281" t="s">
        <v>3630</v>
      </c>
      <c r="D40" s="3281" t="s">
        <v>3631</v>
      </c>
      <c r="E40" s="3281" t="s">
        <v>3632</v>
      </c>
      <c r="G40" s="3281">
        <v>0.45174799999999998</v>
      </c>
      <c r="J40" s="3285" t="s">
        <v>3645</v>
      </c>
      <c r="K40" s="3284"/>
      <c r="L40" s="3284"/>
      <c r="M40" s="3288" t="s">
        <v>3650</v>
      </c>
    </row>
    <row r="41" spans="1:13" hidden="1">
      <c r="G41" s="3281" t="s">
        <v>3280</v>
      </c>
      <c r="J41" s="3284"/>
      <c r="K41" s="3284"/>
      <c r="L41" s="3284"/>
      <c r="M41" s="3288" t="s">
        <v>3650</v>
      </c>
    </row>
    <row r="42" spans="1:13" hidden="1">
      <c r="A42" s="3281" t="s">
        <v>3347</v>
      </c>
      <c r="B42" s="3283">
        <v>108.79</v>
      </c>
      <c r="C42" s="3281" t="s">
        <v>3348</v>
      </c>
      <c r="E42" s="3281" t="s">
        <v>3349</v>
      </c>
      <c r="J42" s="3284"/>
      <c r="K42" s="3284"/>
      <c r="L42" s="3284"/>
      <c r="M42" s="3288" t="s">
        <v>3650</v>
      </c>
    </row>
    <row r="43" spans="1:13" hidden="1">
      <c r="A43" s="3281" t="s">
        <v>3350</v>
      </c>
      <c r="B43" s="3283">
        <v>257.35000000000002</v>
      </c>
      <c r="C43" s="3281" t="s">
        <v>3351</v>
      </c>
      <c r="E43" s="3281" t="s">
        <v>3352</v>
      </c>
      <c r="J43" s="3284"/>
      <c r="K43" s="3284"/>
      <c r="L43" s="3284"/>
      <c r="M43" s="3288" t="s">
        <v>3650</v>
      </c>
    </row>
    <row r="44" spans="1:13" hidden="1">
      <c r="A44" s="3281" t="s">
        <v>3353</v>
      </c>
      <c r="J44" s="3284"/>
      <c r="K44" s="3284"/>
      <c r="L44" s="3284"/>
      <c r="M44" s="3288" t="s">
        <v>3650</v>
      </c>
    </row>
    <row r="45" spans="1:13" hidden="1">
      <c r="A45" s="3281" t="s">
        <v>3354</v>
      </c>
      <c r="B45" s="3283">
        <v>483.64</v>
      </c>
      <c r="C45" s="3281" t="s">
        <v>3355</v>
      </c>
      <c r="E45" s="3281" t="s">
        <v>3356</v>
      </c>
      <c r="J45" s="3284"/>
      <c r="K45" s="3284"/>
      <c r="L45" s="3284"/>
      <c r="M45" s="3288" t="s">
        <v>3650</v>
      </c>
    </row>
    <row r="46" spans="1:13" hidden="1">
      <c r="A46" s="3281" t="s">
        <v>3357</v>
      </c>
      <c r="B46" s="3283">
        <v>470.83</v>
      </c>
      <c r="C46" s="3281" t="s">
        <v>3358</v>
      </c>
      <c r="E46" s="3281" t="s">
        <v>3359</v>
      </c>
      <c r="J46" s="3284"/>
      <c r="K46" s="3284"/>
      <c r="L46" s="3284"/>
      <c r="M46" s="3288" t="s">
        <v>3650</v>
      </c>
    </row>
    <row r="47" spans="1:13" hidden="1">
      <c r="A47" s="3281" t="s">
        <v>3360</v>
      </c>
      <c r="J47" s="3284"/>
      <c r="K47" s="3284"/>
      <c r="L47" s="3284"/>
      <c r="M47" s="3288" t="s">
        <v>3650</v>
      </c>
    </row>
    <row r="48" spans="1:13" hidden="1">
      <c r="A48" s="3281" t="s">
        <v>3361</v>
      </c>
      <c r="B48" s="3283">
        <v>141.88999999999999</v>
      </c>
      <c r="C48" s="3281" t="s">
        <v>3362</v>
      </c>
      <c r="E48" s="3281" t="s">
        <v>3363</v>
      </c>
      <c r="J48" s="3284"/>
      <c r="K48" s="3284"/>
      <c r="L48" s="3284"/>
      <c r="M48" s="3288" t="s">
        <v>3650</v>
      </c>
    </row>
    <row r="49" spans="1:13" hidden="1">
      <c r="A49" s="3281" t="s">
        <v>3364</v>
      </c>
      <c r="B49" s="3283">
        <v>77.31</v>
      </c>
      <c r="C49" s="3281" t="s">
        <v>3365</v>
      </c>
      <c r="E49" s="3281" t="s">
        <v>3366</v>
      </c>
      <c r="J49" s="3284"/>
      <c r="K49" s="3284"/>
      <c r="L49" s="3284"/>
      <c r="M49" s="3288" t="s">
        <v>3650</v>
      </c>
    </row>
    <row r="50" spans="1:13" hidden="1">
      <c r="A50" s="3281" t="s">
        <v>3367</v>
      </c>
      <c r="B50" s="3283">
        <v>175.49</v>
      </c>
      <c r="C50" s="3281" t="s">
        <v>3368</v>
      </c>
      <c r="E50" s="3281" t="s">
        <v>3369</v>
      </c>
      <c r="J50" s="3284"/>
      <c r="K50" s="3284"/>
      <c r="L50" s="3284"/>
      <c r="M50" s="3288" t="s">
        <v>3650</v>
      </c>
    </row>
    <row r="51" spans="1:13" hidden="1">
      <c r="A51" s="3281" t="s">
        <v>3370</v>
      </c>
      <c r="B51" s="3283">
        <v>279.17</v>
      </c>
      <c r="C51" s="3281" t="s">
        <v>3371</v>
      </c>
      <c r="E51" s="3281" t="s">
        <v>3372</v>
      </c>
      <c r="J51" s="3284"/>
      <c r="K51" s="3284"/>
      <c r="L51" s="3284"/>
      <c r="M51" s="3288" t="s">
        <v>3650</v>
      </c>
    </row>
    <row r="52" spans="1:13" hidden="1">
      <c r="A52" s="3281" t="s">
        <v>3373</v>
      </c>
      <c r="B52" s="3283">
        <v>175.49</v>
      </c>
      <c r="C52" s="3281" t="s">
        <v>3368</v>
      </c>
      <c r="E52" s="3281" t="s">
        <v>3369</v>
      </c>
      <c r="J52" s="3284"/>
      <c r="K52" s="3284"/>
      <c r="L52" s="3284"/>
      <c r="M52" s="3288" t="s">
        <v>3650</v>
      </c>
    </row>
    <row r="53" spans="1:13" hidden="1">
      <c r="A53" s="3281" t="s">
        <v>3374</v>
      </c>
      <c r="B53" s="3283">
        <v>141.88999999999999</v>
      </c>
      <c r="C53" s="3281" t="s">
        <v>3362</v>
      </c>
      <c r="E53" s="3281" t="s">
        <v>3363</v>
      </c>
      <c r="J53" s="3284"/>
      <c r="K53" s="3284"/>
      <c r="L53" s="3284"/>
      <c r="M53" s="3288" t="s">
        <v>3650</v>
      </c>
    </row>
    <row r="54" spans="1:13" hidden="1">
      <c r="A54" s="3281" t="s">
        <v>3375</v>
      </c>
      <c r="B54" s="3283">
        <v>74.95</v>
      </c>
      <c r="C54" s="3281" t="s">
        <v>3376</v>
      </c>
      <c r="E54" s="3281" t="s">
        <v>3377</v>
      </c>
      <c r="J54" s="3284"/>
      <c r="K54" s="3284"/>
      <c r="L54" s="3284"/>
      <c r="M54" s="3288" t="s">
        <v>3650</v>
      </c>
    </row>
    <row r="55" spans="1:13" hidden="1">
      <c r="A55" s="3281" t="s">
        <v>3378</v>
      </c>
      <c r="B55" s="3283">
        <v>175.49</v>
      </c>
      <c r="C55" s="3281" t="s">
        <v>3368</v>
      </c>
      <c r="E55" s="3281" t="s">
        <v>3369</v>
      </c>
      <c r="J55" s="3284"/>
      <c r="K55" s="3284"/>
      <c r="L55" s="3284"/>
      <c r="M55" s="3288" t="s">
        <v>3650</v>
      </c>
    </row>
    <row r="56" spans="1:13" hidden="1">
      <c r="A56" s="3281" t="s">
        <v>3379</v>
      </c>
      <c r="B56" s="3283">
        <v>279.17</v>
      </c>
      <c r="C56" s="3281" t="s">
        <v>3371</v>
      </c>
      <c r="E56" s="3281" t="s">
        <v>3372</v>
      </c>
      <c r="J56" s="3284"/>
      <c r="K56" s="3284"/>
      <c r="L56" s="3284"/>
      <c r="M56" s="3288" t="s">
        <v>3650</v>
      </c>
    </row>
    <row r="57" spans="1:13" hidden="1">
      <c r="A57" s="3281" t="s">
        <v>3380</v>
      </c>
      <c r="B57" s="3283">
        <v>175.49</v>
      </c>
      <c r="C57" s="3281" t="s">
        <v>3368</v>
      </c>
      <c r="E57" s="3281" t="s">
        <v>3369</v>
      </c>
      <c r="J57" s="3284"/>
      <c r="K57" s="3284"/>
      <c r="L57" s="3284"/>
      <c r="M57" s="3288" t="s">
        <v>3650</v>
      </c>
    </row>
    <row r="58" spans="1:13" hidden="1">
      <c r="A58" s="3281" t="s">
        <v>3381</v>
      </c>
      <c r="J58" s="3284"/>
      <c r="K58" s="3284"/>
      <c r="L58" s="3284"/>
      <c r="M58" s="3288" t="s">
        <v>3650</v>
      </c>
    </row>
    <row r="59" spans="1:13" hidden="1">
      <c r="A59" s="3281" t="s">
        <v>3382</v>
      </c>
      <c r="B59" s="3283">
        <v>141.88999999999999</v>
      </c>
      <c r="C59" s="3281" t="s">
        <v>3362</v>
      </c>
      <c r="E59" s="3281" t="s">
        <v>3363</v>
      </c>
      <c r="J59" s="3284"/>
      <c r="K59" s="3284"/>
      <c r="L59" s="3284"/>
      <c r="M59" s="3288" t="s">
        <v>3650</v>
      </c>
    </row>
    <row r="60" spans="1:13" hidden="1">
      <c r="A60" s="3281" t="s">
        <v>3383</v>
      </c>
      <c r="B60" s="3283">
        <v>77.31</v>
      </c>
      <c r="C60" s="3281" t="s">
        <v>3365</v>
      </c>
      <c r="E60" s="3281" t="s">
        <v>3366</v>
      </c>
      <c r="J60" s="3284"/>
      <c r="K60" s="3284"/>
      <c r="L60" s="3284"/>
      <c r="M60" s="3288" t="s">
        <v>3650</v>
      </c>
    </row>
    <row r="61" spans="1:13" hidden="1">
      <c r="A61" s="3281" t="s">
        <v>3384</v>
      </c>
      <c r="B61" s="3283">
        <v>175.49</v>
      </c>
      <c r="C61" s="3281" t="s">
        <v>3368</v>
      </c>
      <c r="E61" s="3281" t="s">
        <v>3369</v>
      </c>
      <c r="J61" s="3284"/>
      <c r="K61" s="3284"/>
      <c r="L61" s="3284"/>
      <c r="M61" s="3288" t="s">
        <v>3650</v>
      </c>
    </row>
    <row r="62" spans="1:13" hidden="1">
      <c r="A62" s="3281" t="s">
        <v>3385</v>
      </c>
      <c r="B62" s="3283">
        <v>279.17</v>
      </c>
      <c r="C62" s="3281" t="s">
        <v>3371</v>
      </c>
      <c r="E62" s="3281" t="s">
        <v>3372</v>
      </c>
      <c r="J62" s="3284"/>
      <c r="K62" s="3284"/>
      <c r="L62" s="3284"/>
      <c r="M62" s="3288" t="s">
        <v>3650</v>
      </c>
    </row>
    <row r="63" spans="1:13" hidden="1">
      <c r="A63" s="3281" t="s">
        <v>3386</v>
      </c>
      <c r="B63" s="3283">
        <v>175.49</v>
      </c>
      <c r="C63" s="3281" t="s">
        <v>3368</v>
      </c>
      <c r="E63" s="3281" t="s">
        <v>3369</v>
      </c>
      <c r="J63" s="3284"/>
      <c r="K63" s="3284"/>
      <c r="L63" s="3284"/>
      <c r="M63" s="3288" t="s">
        <v>3650</v>
      </c>
    </row>
    <row r="64" spans="1:13" hidden="1">
      <c r="A64" s="3281" t="s">
        <v>3387</v>
      </c>
      <c r="B64" s="3283">
        <v>141.88999999999999</v>
      </c>
      <c r="C64" s="3281" t="s">
        <v>3362</v>
      </c>
      <c r="E64" s="3281" t="s">
        <v>3363</v>
      </c>
      <c r="J64" s="3284"/>
      <c r="K64" s="3284"/>
      <c r="L64" s="3284"/>
      <c r="M64" s="3288" t="s">
        <v>3650</v>
      </c>
    </row>
    <row r="65" spans="1:13" hidden="1">
      <c r="A65" s="3281" t="s">
        <v>3388</v>
      </c>
      <c r="B65" s="3283">
        <v>74.95</v>
      </c>
      <c r="C65" s="3281" t="s">
        <v>3376</v>
      </c>
      <c r="E65" s="3281" t="s">
        <v>3377</v>
      </c>
      <c r="J65" s="3284"/>
      <c r="K65" s="3284"/>
      <c r="L65" s="3284"/>
      <c r="M65" s="3288" t="s">
        <v>3650</v>
      </c>
    </row>
    <row r="66" spans="1:13" hidden="1">
      <c r="A66" s="3281" t="s">
        <v>3389</v>
      </c>
      <c r="B66" s="3283">
        <v>175.49</v>
      </c>
      <c r="C66" s="3281" t="s">
        <v>3368</v>
      </c>
      <c r="E66" s="3281" t="s">
        <v>3369</v>
      </c>
      <c r="J66" s="3284"/>
      <c r="K66" s="3284"/>
      <c r="L66" s="3284"/>
      <c r="M66" s="3288" t="s">
        <v>3650</v>
      </c>
    </row>
    <row r="67" spans="1:13" hidden="1">
      <c r="A67" s="3281" t="s">
        <v>3390</v>
      </c>
      <c r="B67" s="3283">
        <v>279.17</v>
      </c>
      <c r="C67" s="3281" t="s">
        <v>3371</v>
      </c>
      <c r="E67" s="3281" t="s">
        <v>3372</v>
      </c>
      <c r="J67" s="3284"/>
      <c r="K67" s="3284"/>
      <c r="L67" s="3284"/>
      <c r="M67" s="3288" t="s">
        <v>3650</v>
      </c>
    </row>
    <row r="68" spans="1:13" hidden="1">
      <c r="A68" s="3281" t="s">
        <v>3391</v>
      </c>
      <c r="B68" s="3283">
        <v>175.49</v>
      </c>
      <c r="C68" s="3281" t="s">
        <v>3368</v>
      </c>
      <c r="E68" s="3281" t="s">
        <v>3369</v>
      </c>
      <c r="J68" s="3284"/>
      <c r="K68" s="3284"/>
      <c r="L68" s="3284"/>
      <c r="M68" s="3288" t="s">
        <v>3650</v>
      </c>
    </row>
    <row r="69" spans="1:13" hidden="1">
      <c r="A69" s="3281" t="s">
        <v>3392</v>
      </c>
      <c r="J69" s="3284"/>
      <c r="K69" s="3284"/>
      <c r="L69" s="3284"/>
      <c r="M69" s="3288" t="s">
        <v>3650</v>
      </c>
    </row>
    <row r="70" spans="1:13" hidden="1">
      <c r="A70" s="3281" t="s">
        <v>3393</v>
      </c>
      <c r="B70" s="3283">
        <v>143.03</v>
      </c>
      <c r="C70" s="3281" t="s">
        <v>3394</v>
      </c>
      <c r="E70" s="3281" t="s">
        <v>3395</v>
      </c>
      <c r="J70" s="3284"/>
      <c r="K70" s="3284"/>
      <c r="L70" s="3284"/>
      <c r="M70" s="3288" t="s">
        <v>3650</v>
      </c>
    </row>
    <row r="71" spans="1:13" hidden="1">
      <c r="A71" s="3281" t="s">
        <v>3396</v>
      </c>
      <c r="B71" s="3283">
        <v>77.569999999999993</v>
      </c>
      <c r="C71" s="3281" t="s">
        <v>3397</v>
      </c>
      <c r="E71" s="3281" t="s">
        <v>3398</v>
      </c>
      <c r="J71" s="3284"/>
      <c r="K71" s="3284"/>
      <c r="L71" s="3284"/>
      <c r="M71" s="3288" t="s">
        <v>3650</v>
      </c>
    </row>
    <row r="72" spans="1:13" hidden="1">
      <c r="A72" s="3281" t="s">
        <v>3633</v>
      </c>
      <c r="B72" s="3281">
        <v>4933.8900000000003</v>
      </c>
      <c r="C72" s="3281">
        <v>3398.58</v>
      </c>
      <c r="E72" s="3281">
        <v>1535.31</v>
      </c>
      <c r="J72" s="3284"/>
      <c r="K72" s="3284"/>
      <c r="L72" s="3284"/>
      <c r="M72" s="3288" t="s">
        <v>3650</v>
      </c>
    </row>
    <row r="73" spans="1:13" hidden="1">
      <c r="A73" s="3281" t="s">
        <v>3634</v>
      </c>
      <c r="J73" s="3284"/>
      <c r="K73" s="3284"/>
      <c r="L73" s="3284"/>
      <c r="M73" s="3288" t="s">
        <v>3650</v>
      </c>
    </row>
    <row r="74" spans="1:13" hidden="1">
      <c r="A74" s="3281" t="s">
        <v>3626</v>
      </c>
      <c r="J74" s="3284"/>
      <c r="K74" s="3284"/>
      <c r="L74" s="3284"/>
      <c r="M74" s="3288" t="s">
        <v>3650</v>
      </c>
    </row>
    <row r="75" spans="1:13" hidden="1">
      <c r="A75" s="3281" t="s">
        <v>3627</v>
      </c>
      <c r="J75" s="3284"/>
      <c r="K75" s="3284"/>
      <c r="L75" s="3284"/>
      <c r="M75" s="3288" t="s">
        <v>3650</v>
      </c>
    </row>
    <row r="76" spans="1:13" hidden="1">
      <c r="A76" s="3281" t="s">
        <v>3278</v>
      </c>
      <c r="B76" s="3281" t="s">
        <v>3628</v>
      </c>
      <c r="C76" s="3281" t="s">
        <v>3279</v>
      </c>
      <c r="G76" s="3281" t="s">
        <v>3629</v>
      </c>
      <c r="J76" s="3284"/>
      <c r="K76" s="3284"/>
      <c r="L76" s="3284"/>
      <c r="M76" s="3288" t="s">
        <v>3650</v>
      </c>
    </row>
    <row r="77" spans="1:13" hidden="1">
      <c r="C77" s="3281" t="s">
        <v>3630</v>
      </c>
      <c r="D77" s="3281" t="s">
        <v>3631</v>
      </c>
      <c r="E77" s="3281" t="s">
        <v>3632</v>
      </c>
      <c r="G77" s="3281">
        <v>0.45174799999999998</v>
      </c>
      <c r="J77" s="3284"/>
      <c r="K77" s="3284"/>
      <c r="L77" s="3284"/>
      <c r="M77" s="3288" t="s">
        <v>3650</v>
      </c>
    </row>
    <row r="78" spans="1:13" hidden="1">
      <c r="G78" s="3281" t="s">
        <v>3280</v>
      </c>
      <c r="J78" s="3284"/>
      <c r="K78" s="3284"/>
      <c r="L78" s="3284"/>
      <c r="M78" s="3288" t="s">
        <v>3650</v>
      </c>
    </row>
    <row r="79" spans="1:13" hidden="1">
      <c r="A79" s="3281" t="s">
        <v>3399</v>
      </c>
      <c r="B79" s="3283">
        <v>177.23</v>
      </c>
      <c r="C79" s="3281" t="s">
        <v>3400</v>
      </c>
      <c r="E79" s="3281" t="s">
        <v>3401</v>
      </c>
      <c r="J79" s="3284"/>
      <c r="K79" s="3284"/>
      <c r="L79" s="3284"/>
      <c r="M79" s="3288" t="s">
        <v>3650</v>
      </c>
    </row>
    <row r="80" spans="1:13" hidden="1">
      <c r="A80" s="3281" t="s">
        <v>3402</v>
      </c>
      <c r="B80" s="3283">
        <v>282.31</v>
      </c>
      <c r="C80" s="3281" t="s">
        <v>3403</v>
      </c>
      <c r="E80" s="3281" t="s">
        <v>3404</v>
      </c>
      <c r="J80" s="3284"/>
      <c r="K80" s="3284"/>
      <c r="L80" s="3284"/>
      <c r="M80" s="3288" t="s">
        <v>3650</v>
      </c>
    </row>
    <row r="81" spans="1:13" hidden="1">
      <c r="A81" s="3281" t="s">
        <v>3405</v>
      </c>
      <c r="B81" s="3283">
        <v>177.23</v>
      </c>
      <c r="C81" s="3281" t="s">
        <v>3400</v>
      </c>
      <c r="E81" s="3281" t="s">
        <v>3401</v>
      </c>
      <c r="J81" s="3284"/>
      <c r="K81" s="3284"/>
      <c r="L81" s="3284"/>
      <c r="M81" s="3288" t="s">
        <v>3650</v>
      </c>
    </row>
    <row r="82" spans="1:13" hidden="1">
      <c r="A82" s="3281" t="s">
        <v>3406</v>
      </c>
      <c r="B82" s="3283">
        <v>143.03</v>
      </c>
      <c r="C82" s="3281" t="s">
        <v>3394</v>
      </c>
      <c r="E82" s="3281" t="s">
        <v>3395</v>
      </c>
      <c r="J82" s="3284"/>
      <c r="K82" s="3284"/>
      <c r="L82" s="3284"/>
      <c r="M82" s="3288" t="s">
        <v>3650</v>
      </c>
    </row>
    <row r="83" spans="1:13" hidden="1">
      <c r="A83" s="3281" t="s">
        <v>3407</v>
      </c>
      <c r="B83" s="3283">
        <v>74.98</v>
      </c>
      <c r="C83" s="3281" t="s">
        <v>3408</v>
      </c>
      <c r="E83" s="3281" t="s">
        <v>3409</v>
      </c>
      <c r="J83" s="3284"/>
      <c r="K83" s="3284"/>
      <c r="L83" s="3284"/>
      <c r="M83" s="3288" t="s">
        <v>3650</v>
      </c>
    </row>
    <row r="84" spans="1:13" hidden="1">
      <c r="A84" s="3281" t="s">
        <v>3410</v>
      </c>
      <c r="B84" s="3283">
        <v>177.23</v>
      </c>
      <c r="C84" s="3281" t="s">
        <v>3400</v>
      </c>
      <c r="E84" s="3281" t="s">
        <v>3401</v>
      </c>
      <c r="J84" s="3284"/>
      <c r="K84" s="3284"/>
      <c r="L84" s="3284"/>
      <c r="M84" s="3288" t="s">
        <v>3650</v>
      </c>
    </row>
    <row r="85" spans="1:13" hidden="1">
      <c r="A85" s="3281" t="s">
        <v>3411</v>
      </c>
      <c r="B85" s="3283">
        <v>282.31</v>
      </c>
      <c r="C85" s="3281" t="s">
        <v>3403</v>
      </c>
      <c r="E85" s="3281" t="s">
        <v>3404</v>
      </c>
      <c r="J85" s="3284"/>
      <c r="K85" s="3284"/>
      <c r="L85" s="3284"/>
      <c r="M85" s="3288" t="s">
        <v>3650</v>
      </c>
    </row>
    <row r="86" spans="1:13" hidden="1">
      <c r="A86" s="3281" t="s">
        <v>3412</v>
      </c>
      <c r="B86" s="3283">
        <v>177.23</v>
      </c>
      <c r="C86" s="3281" t="s">
        <v>3400</v>
      </c>
      <c r="E86" s="3281" t="s">
        <v>3401</v>
      </c>
      <c r="J86" s="3284"/>
      <c r="K86" s="3284"/>
      <c r="L86" s="3284"/>
      <c r="M86" s="3288" t="s">
        <v>3650</v>
      </c>
    </row>
    <row r="87" spans="1:13" hidden="1">
      <c r="A87" s="3281" t="s">
        <v>3413</v>
      </c>
      <c r="J87" s="3284"/>
      <c r="K87" s="3284"/>
      <c r="L87" s="3284"/>
      <c r="M87" s="3288" t="s">
        <v>3650</v>
      </c>
    </row>
    <row r="88" spans="1:13" hidden="1">
      <c r="A88" s="3281" t="s">
        <v>3414</v>
      </c>
      <c r="B88" s="3283">
        <v>143.03</v>
      </c>
      <c r="C88" s="3281" t="s">
        <v>3394</v>
      </c>
      <c r="E88" s="3281" t="s">
        <v>3395</v>
      </c>
      <c r="J88" s="3284"/>
      <c r="K88" s="3284"/>
      <c r="L88" s="3284"/>
      <c r="M88" s="3288" t="s">
        <v>3650</v>
      </c>
    </row>
    <row r="89" spans="1:13" hidden="1">
      <c r="A89" s="3281" t="s">
        <v>3415</v>
      </c>
      <c r="B89" s="3283">
        <v>77.569999999999993</v>
      </c>
      <c r="C89" s="3281" t="s">
        <v>3397</v>
      </c>
      <c r="E89" s="3281" t="s">
        <v>3398</v>
      </c>
      <c r="J89" s="3284"/>
      <c r="K89" s="3284"/>
      <c r="L89" s="3284"/>
      <c r="M89" s="3288" t="s">
        <v>3650</v>
      </c>
    </row>
    <row r="90" spans="1:13" hidden="1">
      <c r="A90" s="3281" t="s">
        <v>3416</v>
      </c>
      <c r="B90" s="3283">
        <v>177.23</v>
      </c>
      <c r="C90" s="3281" t="s">
        <v>3400</v>
      </c>
      <c r="E90" s="3281" t="s">
        <v>3401</v>
      </c>
      <c r="J90" s="3284"/>
      <c r="K90" s="3284"/>
      <c r="L90" s="3284"/>
      <c r="M90" s="3288" t="s">
        <v>3650</v>
      </c>
    </row>
    <row r="91" spans="1:13" hidden="1">
      <c r="A91" s="3281" t="s">
        <v>3417</v>
      </c>
      <c r="B91" s="3283">
        <v>282.31</v>
      </c>
      <c r="C91" s="3281" t="s">
        <v>3403</v>
      </c>
      <c r="E91" s="3281" t="s">
        <v>3404</v>
      </c>
      <c r="J91" s="3284"/>
      <c r="K91" s="3284"/>
      <c r="L91" s="3284"/>
      <c r="M91" s="3288" t="s">
        <v>3650</v>
      </c>
    </row>
    <row r="92" spans="1:13" hidden="1">
      <c r="A92" s="3281" t="s">
        <v>3418</v>
      </c>
      <c r="B92" s="3283">
        <v>177.23</v>
      </c>
      <c r="C92" s="3281" t="s">
        <v>3400</v>
      </c>
      <c r="E92" s="3281" t="s">
        <v>3401</v>
      </c>
      <c r="J92" s="3284"/>
      <c r="K92" s="3284"/>
      <c r="L92" s="3284"/>
      <c r="M92" s="3288" t="s">
        <v>3650</v>
      </c>
    </row>
    <row r="93" spans="1:13" hidden="1">
      <c r="A93" s="3281" t="s">
        <v>3419</v>
      </c>
      <c r="B93" s="3283">
        <v>143.03</v>
      </c>
      <c r="C93" s="3281" t="s">
        <v>3394</v>
      </c>
      <c r="E93" s="3281" t="s">
        <v>3395</v>
      </c>
      <c r="J93" s="3284"/>
      <c r="K93" s="3284"/>
      <c r="L93" s="3284"/>
      <c r="M93" s="3288" t="s">
        <v>3650</v>
      </c>
    </row>
    <row r="94" spans="1:13" hidden="1">
      <c r="A94" s="3281" t="s">
        <v>3420</v>
      </c>
      <c r="B94" s="3283">
        <v>74.98</v>
      </c>
      <c r="C94" s="3281" t="s">
        <v>3408</v>
      </c>
      <c r="E94" s="3281" t="s">
        <v>3409</v>
      </c>
      <c r="J94" s="3284"/>
      <c r="K94" s="3284"/>
      <c r="L94" s="3284"/>
      <c r="M94" s="3288" t="s">
        <v>3650</v>
      </c>
    </row>
    <row r="95" spans="1:13" hidden="1">
      <c r="A95" s="3281" t="s">
        <v>3421</v>
      </c>
      <c r="B95" s="3283">
        <v>177.23</v>
      </c>
      <c r="C95" s="3281" t="s">
        <v>3400</v>
      </c>
      <c r="E95" s="3281" t="s">
        <v>3401</v>
      </c>
      <c r="J95" s="3284"/>
      <c r="K95" s="3284"/>
      <c r="L95" s="3284"/>
      <c r="M95" s="3288" t="s">
        <v>3650</v>
      </c>
    </row>
    <row r="96" spans="1:13" hidden="1">
      <c r="A96" s="3281" t="s">
        <v>3422</v>
      </c>
      <c r="B96" s="3283">
        <v>282.31</v>
      </c>
      <c r="C96" s="3281" t="s">
        <v>3403</v>
      </c>
      <c r="E96" s="3281" t="s">
        <v>3404</v>
      </c>
      <c r="J96" s="3284"/>
      <c r="K96" s="3284"/>
      <c r="L96" s="3284"/>
      <c r="M96" s="3288" t="s">
        <v>3650</v>
      </c>
    </row>
    <row r="97" spans="1:13" hidden="1">
      <c r="A97" s="3281" t="s">
        <v>3423</v>
      </c>
      <c r="B97" s="3283">
        <v>177.23</v>
      </c>
      <c r="C97" s="3281" t="s">
        <v>3400</v>
      </c>
      <c r="E97" s="3281" t="s">
        <v>3401</v>
      </c>
      <c r="J97" s="3284"/>
      <c r="K97" s="3284"/>
      <c r="L97" s="3284"/>
      <c r="M97" s="3288" t="s">
        <v>3650</v>
      </c>
    </row>
    <row r="98" spans="1:13" hidden="1">
      <c r="A98" s="3281" t="s">
        <v>3424</v>
      </c>
      <c r="J98" s="3284"/>
      <c r="K98" s="3284"/>
      <c r="L98" s="3284"/>
      <c r="M98" s="3288" t="s">
        <v>3650</v>
      </c>
    </row>
    <row r="99" spans="1:13" hidden="1">
      <c r="A99" s="3281" t="s">
        <v>3425</v>
      </c>
      <c r="B99" s="3283">
        <v>143.03</v>
      </c>
      <c r="C99" s="3281" t="s">
        <v>3394</v>
      </c>
      <c r="E99" s="3281" t="s">
        <v>3395</v>
      </c>
      <c r="J99" s="3284"/>
      <c r="K99" s="3284"/>
      <c r="L99" s="3284"/>
      <c r="M99" s="3288" t="s">
        <v>3650</v>
      </c>
    </row>
    <row r="100" spans="1:13" hidden="1">
      <c r="A100" s="3281" t="s">
        <v>3426</v>
      </c>
      <c r="B100" s="3283">
        <v>77.569999999999993</v>
      </c>
      <c r="C100" s="3281" t="s">
        <v>3397</v>
      </c>
      <c r="E100" s="3281" t="s">
        <v>3398</v>
      </c>
      <c r="J100" s="3284"/>
      <c r="K100" s="3284"/>
      <c r="L100" s="3284"/>
      <c r="M100" s="3288" t="s">
        <v>3650</v>
      </c>
    </row>
    <row r="101" spans="1:13" hidden="1">
      <c r="A101" s="3281" t="s">
        <v>3427</v>
      </c>
      <c r="B101" s="3283">
        <v>177.23</v>
      </c>
      <c r="C101" s="3281" t="s">
        <v>3400</v>
      </c>
      <c r="E101" s="3281" t="s">
        <v>3401</v>
      </c>
      <c r="J101" s="3284"/>
      <c r="K101" s="3284"/>
      <c r="L101" s="3284"/>
      <c r="M101" s="3288" t="s">
        <v>3650</v>
      </c>
    </row>
    <row r="102" spans="1:13" hidden="1">
      <c r="A102" s="3281" t="s">
        <v>3428</v>
      </c>
      <c r="B102" s="3283">
        <v>282.31</v>
      </c>
      <c r="C102" s="3281" t="s">
        <v>3403</v>
      </c>
      <c r="E102" s="3281" t="s">
        <v>3404</v>
      </c>
      <c r="J102" s="3284"/>
      <c r="K102" s="3284"/>
      <c r="L102" s="3284"/>
      <c r="M102" s="3288" t="s">
        <v>3650</v>
      </c>
    </row>
    <row r="103" spans="1:13" hidden="1">
      <c r="A103" s="3281" t="s">
        <v>3429</v>
      </c>
      <c r="B103" s="3283">
        <v>177.23</v>
      </c>
      <c r="C103" s="3281" t="s">
        <v>3400</v>
      </c>
      <c r="E103" s="3281" t="s">
        <v>3401</v>
      </c>
      <c r="J103" s="3284"/>
      <c r="K103" s="3284"/>
      <c r="L103" s="3284"/>
      <c r="M103" s="3288" t="s">
        <v>3650</v>
      </c>
    </row>
    <row r="104" spans="1:13" hidden="1">
      <c r="A104" s="3281" t="s">
        <v>3430</v>
      </c>
      <c r="B104" s="3283">
        <v>143.03</v>
      </c>
      <c r="C104" s="3281" t="s">
        <v>3394</v>
      </c>
      <c r="E104" s="3281" t="s">
        <v>3395</v>
      </c>
      <c r="J104" s="3284"/>
      <c r="K104" s="3284"/>
      <c r="L104" s="3284"/>
      <c r="M104" s="3288" t="s">
        <v>3650</v>
      </c>
    </row>
    <row r="105" spans="1:13" hidden="1">
      <c r="A105" s="3281" t="s">
        <v>3431</v>
      </c>
      <c r="B105" s="3283">
        <v>74.98</v>
      </c>
      <c r="C105" s="3281" t="s">
        <v>3408</v>
      </c>
      <c r="E105" s="3281" t="s">
        <v>3409</v>
      </c>
      <c r="J105" s="3284"/>
      <c r="K105" s="3284"/>
      <c r="L105" s="3284"/>
      <c r="M105" s="3288" t="s">
        <v>3650</v>
      </c>
    </row>
    <row r="106" spans="1:13" hidden="1">
      <c r="A106" s="3281" t="s">
        <v>3432</v>
      </c>
      <c r="B106" s="3283">
        <v>177.23</v>
      </c>
      <c r="C106" s="3281" t="s">
        <v>3400</v>
      </c>
      <c r="E106" s="3281" t="s">
        <v>3401</v>
      </c>
      <c r="J106" s="3284"/>
      <c r="K106" s="3284"/>
      <c r="L106" s="3284"/>
      <c r="M106" s="3288" t="s">
        <v>3650</v>
      </c>
    </row>
    <row r="107" spans="1:13" hidden="1">
      <c r="A107" s="3281" t="s">
        <v>3433</v>
      </c>
      <c r="B107" s="3283">
        <v>282.31</v>
      </c>
      <c r="C107" s="3281" t="s">
        <v>3403</v>
      </c>
      <c r="E107" s="3281" t="s">
        <v>3404</v>
      </c>
      <c r="J107" s="3284"/>
      <c r="K107" s="3284"/>
      <c r="L107" s="3284"/>
      <c r="M107" s="3288" t="s">
        <v>3650</v>
      </c>
    </row>
    <row r="108" spans="1:13" hidden="1">
      <c r="A108" s="3281" t="s">
        <v>3434</v>
      </c>
      <c r="B108" s="3283">
        <v>177.23</v>
      </c>
      <c r="C108" s="3281" t="s">
        <v>3400</v>
      </c>
      <c r="E108" s="3281" t="s">
        <v>3401</v>
      </c>
      <c r="J108" s="3284"/>
      <c r="K108" s="3284"/>
      <c r="L108" s="3284"/>
      <c r="M108" s="3288" t="s">
        <v>3650</v>
      </c>
    </row>
    <row r="109" spans="1:13" hidden="1">
      <c r="A109" s="3281" t="s">
        <v>3633</v>
      </c>
      <c r="B109" s="3281">
        <v>4915.8500000000004</v>
      </c>
      <c r="C109" s="3281">
        <v>3386.13</v>
      </c>
      <c r="E109" s="3281">
        <v>1529.72</v>
      </c>
      <c r="J109" s="3284"/>
      <c r="K109" s="3284"/>
      <c r="L109" s="3284"/>
      <c r="M109" s="3288" t="s">
        <v>3650</v>
      </c>
    </row>
    <row r="110" spans="1:13" hidden="1">
      <c r="A110" s="3281" t="s">
        <v>3634</v>
      </c>
      <c r="J110" s="3284"/>
      <c r="K110" s="3284"/>
      <c r="L110" s="3284"/>
      <c r="M110" s="3288" t="s">
        <v>3650</v>
      </c>
    </row>
    <row r="111" spans="1:13" hidden="1">
      <c r="A111" s="3281" t="s">
        <v>3626</v>
      </c>
      <c r="J111" s="3284"/>
      <c r="K111" s="3284"/>
      <c r="L111" s="3284"/>
      <c r="M111" s="3288" t="s">
        <v>3650</v>
      </c>
    </row>
    <row r="112" spans="1:13" hidden="1">
      <c r="A112" s="3281" t="s">
        <v>3627</v>
      </c>
      <c r="J112" s="3284"/>
      <c r="K112" s="3284"/>
      <c r="L112" s="3284"/>
      <c r="M112" s="3288" t="s">
        <v>3650</v>
      </c>
    </row>
    <row r="113" spans="1:13" hidden="1">
      <c r="A113" s="3281" t="s">
        <v>3278</v>
      </c>
      <c r="B113" s="3281" t="s">
        <v>3628</v>
      </c>
      <c r="C113" s="3281" t="s">
        <v>3279</v>
      </c>
      <c r="G113" s="3281" t="s">
        <v>3629</v>
      </c>
      <c r="J113" s="3284"/>
      <c r="K113" s="3284"/>
      <c r="L113" s="3284"/>
      <c r="M113" s="3288" t="s">
        <v>3650</v>
      </c>
    </row>
    <row r="114" spans="1:13" hidden="1">
      <c r="C114" s="3281" t="s">
        <v>3630</v>
      </c>
      <c r="D114" s="3281" t="s">
        <v>3631</v>
      </c>
      <c r="E114" s="3281" t="s">
        <v>3632</v>
      </c>
      <c r="G114" s="3281">
        <v>0.45174799999999998</v>
      </c>
      <c r="J114" s="3284"/>
      <c r="K114" s="3284"/>
      <c r="L114" s="3284"/>
      <c r="M114" s="3288" t="s">
        <v>3650</v>
      </c>
    </row>
    <row r="115" spans="1:13" hidden="1">
      <c r="G115" s="3281" t="s">
        <v>3280</v>
      </c>
      <c r="J115" s="3284"/>
      <c r="K115" s="3284"/>
      <c r="L115" s="3284"/>
      <c r="M115" s="3288" t="s">
        <v>3650</v>
      </c>
    </row>
    <row r="116" spans="1:13" hidden="1">
      <c r="A116" s="3281" t="s">
        <v>3435</v>
      </c>
      <c r="J116" s="3284"/>
      <c r="K116" s="3284"/>
      <c r="L116" s="3284"/>
      <c r="M116" s="3288" t="s">
        <v>3650</v>
      </c>
    </row>
    <row r="117" spans="1:13" hidden="1">
      <c r="A117" s="3281" t="s">
        <v>3436</v>
      </c>
      <c r="B117" s="3283">
        <v>143.03</v>
      </c>
      <c r="C117" s="3281" t="s">
        <v>3394</v>
      </c>
      <c r="E117" s="3281" t="s">
        <v>3395</v>
      </c>
      <c r="J117" s="3284"/>
      <c r="K117" s="3284"/>
      <c r="L117" s="3284"/>
      <c r="M117" s="3288" t="s">
        <v>3650</v>
      </c>
    </row>
    <row r="118" spans="1:13" hidden="1">
      <c r="A118" s="3281" t="s">
        <v>3437</v>
      </c>
      <c r="B118" s="3283">
        <v>77.569999999999993</v>
      </c>
      <c r="C118" s="3281" t="s">
        <v>3397</v>
      </c>
      <c r="E118" s="3281" t="s">
        <v>3398</v>
      </c>
      <c r="J118" s="3284"/>
      <c r="K118" s="3284"/>
      <c r="L118" s="3284"/>
      <c r="M118" s="3288" t="s">
        <v>3650</v>
      </c>
    </row>
    <row r="119" spans="1:13" hidden="1">
      <c r="A119" s="3281" t="s">
        <v>3438</v>
      </c>
      <c r="B119" s="3283">
        <v>177.23</v>
      </c>
      <c r="C119" s="3281" t="s">
        <v>3400</v>
      </c>
      <c r="E119" s="3281" t="s">
        <v>3401</v>
      </c>
      <c r="J119" s="3284"/>
      <c r="K119" s="3284"/>
      <c r="L119" s="3284"/>
      <c r="M119" s="3288" t="s">
        <v>3650</v>
      </c>
    </row>
    <row r="120" spans="1:13" hidden="1">
      <c r="A120" s="3281" t="s">
        <v>3439</v>
      </c>
      <c r="B120" s="3283">
        <v>282.31</v>
      </c>
      <c r="C120" s="3281" t="s">
        <v>3403</v>
      </c>
      <c r="E120" s="3281" t="s">
        <v>3404</v>
      </c>
      <c r="J120" s="3284"/>
      <c r="K120" s="3284"/>
      <c r="L120" s="3284"/>
      <c r="M120" s="3288" t="s">
        <v>3650</v>
      </c>
    </row>
    <row r="121" spans="1:13" hidden="1">
      <c r="A121" s="3281" t="s">
        <v>3440</v>
      </c>
      <c r="B121" s="3283">
        <v>177.23</v>
      </c>
      <c r="C121" s="3281" t="s">
        <v>3400</v>
      </c>
      <c r="E121" s="3281" t="s">
        <v>3401</v>
      </c>
      <c r="J121" s="3284"/>
      <c r="K121" s="3284"/>
      <c r="L121" s="3284"/>
      <c r="M121" s="3288" t="s">
        <v>3650</v>
      </c>
    </row>
    <row r="122" spans="1:13" hidden="1">
      <c r="A122" s="3281" t="s">
        <v>3441</v>
      </c>
      <c r="B122" s="3283">
        <v>143.03</v>
      </c>
      <c r="C122" s="3281" t="s">
        <v>3394</v>
      </c>
      <c r="E122" s="3281" t="s">
        <v>3395</v>
      </c>
      <c r="J122" s="3284"/>
      <c r="K122" s="3284"/>
      <c r="L122" s="3284"/>
      <c r="M122" s="3288" t="s">
        <v>3650</v>
      </c>
    </row>
    <row r="123" spans="1:13" hidden="1">
      <c r="A123" s="3281" t="s">
        <v>3442</v>
      </c>
      <c r="B123" s="3283">
        <v>74.98</v>
      </c>
      <c r="C123" s="3281" t="s">
        <v>3408</v>
      </c>
      <c r="E123" s="3281" t="s">
        <v>3409</v>
      </c>
      <c r="J123" s="3284"/>
      <c r="K123" s="3284"/>
      <c r="L123" s="3284"/>
      <c r="M123" s="3288" t="s">
        <v>3650</v>
      </c>
    </row>
    <row r="124" spans="1:13" hidden="1">
      <c r="A124" s="3281" t="s">
        <v>3443</v>
      </c>
      <c r="B124" s="3283">
        <v>177.23</v>
      </c>
      <c r="C124" s="3281" t="s">
        <v>3400</v>
      </c>
      <c r="E124" s="3281" t="s">
        <v>3401</v>
      </c>
      <c r="J124" s="3284"/>
      <c r="K124" s="3284"/>
      <c r="L124" s="3284"/>
      <c r="M124" s="3288" t="s">
        <v>3650</v>
      </c>
    </row>
    <row r="125" spans="1:13" hidden="1">
      <c r="A125" s="3281" t="s">
        <v>3444</v>
      </c>
      <c r="B125" s="3283">
        <v>282.31</v>
      </c>
      <c r="C125" s="3281" t="s">
        <v>3403</v>
      </c>
      <c r="E125" s="3281" t="s">
        <v>3404</v>
      </c>
      <c r="J125" s="3284"/>
      <c r="K125" s="3284"/>
      <c r="L125" s="3284"/>
      <c r="M125" s="3288" t="s">
        <v>3650</v>
      </c>
    </row>
    <row r="126" spans="1:13" hidden="1">
      <c r="A126" s="3281" t="s">
        <v>3445</v>
      </c>
      <c r="B126" s="3283">
        <v>177.23</v>
      </c>
      <c r="C126" s="3281" t="s">
        <v>3400</v>
      </c>
      <c r="E126" s="3281" t="s">
        <v>3401</v>
      </c>
      <c r="J126" s="3284"/>
      <c r="K126" s="3284"/>
      <c r="L126" s="3284"/>
      <c r="M126" s="3288" t="s">
        <v>3650</v>
      </c>
    </row>
    <row r="127" spans="1:13" hidden="1">
      <c r="A127" s="3281" t="s">
        <v>3446</v>
      </c>
      <c r="J127" s="3284"/>
      <c r="K127" s="3284"/>
      <c r="L127" s="3284"/>
      <c r="M127" s="3288" t="s">
        <v>3650</v>
      </c>
    </row>
    <row r="128" spans="1:13" hidden="1">
      <c r="A128" s="3281" t="s">
        <v>3447</v>
      </c>
      <c r="B128" s="3283">
        <v>144.13</v>
      </c>
      <c r="C128" s="3281" t="s">
        <v>3448</v>
      </c>
      <c r="E128" s="3281" t="s">
        <v>3449</v>
      </c>
      <c r="J128" s="3284"/>
      <c r="K128" s="3284"/>
      <c r="L128" s="3284"/>
      <c r="M128" s="3288" t="s">
        <v>3650</v>
      </c>
    </row>
    <row r="129" spans="1:13" hidden="1">
      <c r="A129" s="3281" t="s">
        <v>3450</v>
      </c>
      <c r="B129" s="3283">
        <v>77.8</v>
      </c>
      <c r="C129" s="3281" t="s">
        <v>3451</v>
      </c>
      <c r="E129" s="3281" t="s">
        <v>3452</v>
      </c>
      <c r="J129" s="3284"/>
      <c r="K129" s="3284"/>
      <c r="L129" s="3284"/>
      <c r="M129" s="3288" t="s">
        <v>3650</v>
      </c>
    </row>
    <row r="130" spans="1:13" hidden="1">
      <c r="A130" s="3281" t="s">
        <v>3453</v>
      </c>
      <c r="B130" s="3283">
        <v>178.97</v>
      </c>
      <c r="C130" s="3281" t="s">
        <v>3454</v>
      </c>
      <c r="E130" s="3281" t="s">
        <v>3455</v>
      </c>
      <c r="J130" s="3284"/>
      <c r="K130" s="3284"/>
      <c r="L130" s="3284"/>
      <c r="M130" s="3288" t="s">
        <v>3650</v>
      </c>
    </row>
    <row r="131" spans="1:13" hidden="1">
      <c r="A131" s="3281" t="s">
        <v>3456</v>
      </c>
      <c r="B131" s="3283">
        <v>285.44</v>
      </c>
      <c r="C131" s="3281" t="s">
        <v>3457</v>
      </c>
      <c r="E131" s="3281" t="s">
        <v>3458</v>
      </c>
      <c r="J131" s="3284"/>
      <c r="K131" s="3284"/>
      <c r="L131" s="3284"/>
      <c r="M131" s="3288" t="s">
        <v>3650</v>
      </c>
    </row>
    <row r="132" spans="1:13" hidden="1">
      <c r="A132" s="3281" t="s">
        <v>3459</v>
      </c>
      <c r="B132" s="3283">
        <v>178.97</v>
      </c>
      <c r="C132" s="3281" t="s">
        <v>3454</v>
      </c>
      <c r="E132" s="3281" t="s">
        <v>3455</v>
      </c>
      <c r="J132" s="3284"/>
      <c r="K132" s="3284"/>
      <c r="L132" s="3284"/>
      <c r="M132" s="3288" t="s">
        <v>3650</v>
      </c>
    </row>
    <row r="133" spans="1:13" hidden="1">
      <c r="A133" s="3281" t="s">
        <v>3460</v>
      </c>
      <c r="B133" s="3283">
        <v>144.13</v>
      </c>
      <c r="C133" s="3281" t="s">
        <v>3448</v>
      </c>
      <c r="E133" s="3281" t="s">
        <v>3449</v>
      </c>
      <c r="J133" s="3284"/>
      <c r="K133" s="3284"/>
      <c r="L133" s="3284"/>
      <c r="M133" s="3288" t="s">
        <v>3650</v>
      </c>
    </row>
    <row r="134" spans="1:13" hidden="1">
      <c r="A134" s="3281" t="s">
        <v>3461</v>
      </c>
      <c r="B134" s="3283">
        <v>75</v>
      </c>
      <c r="C134" s="3281" t="s">
        <v>3462</v>
      </c>
      <c r="E134" s="3281" t="s">
        <v>3463</v>
      </c>
      <c r="J134" s="3284"/>
      <c r="K134" s="3284"/>
      <c r="L134" s="3284"/>
      <c r="M134" s="3288" t="s">
        <v>3650</v>
      </c>
    </row>
    <row r="135" spans="1:13" hidden="1">
      <c r="A135" s="3281" t="s">
        <v>3464</v>
      </c>
      <c r="B135" s="3283">
        <v>178.97</v>
      </c>
      <c r="C135" s="3281" t="s">
        <v>3454</v>
      </c>
      <c r="E135" s="3281" t="s">
        <v>3455</v>
      </c>
      <c r="J135" s="3284"/>
      <c r="K135" s="3284"/>
      <c r="L135" s="3284"/>
      <c r="M135" s="3288" t="s">
        <v>3650</v>
      </c>
    </row>
    <row r="136" spans="1:13" hidden="1">
      <c r="A136" s="3281" t="s">
        <v>3465</v>
      </c>
      <c r="B136" s="3283">
        <v>285.44</v>
      </c>
      <c r="C136" s="3281" t="s">
        <v>3457</v>
      </c>
      <c r="E136" s="3281" t="s">
        <v>3458</v>
      </c>
      <c r="J136" s="3284"/>
      <c r="K136" s="3284"/>
      <c r="L136" s="3284"/>
      <c r="M136" s="3288" t="s">
        <v>3650</v>
      </c>
    </row>
    <row r="137" spans="1:13" hidden="1">
      <c r="A137" s="3281" t="s">
        <v>3466</v>
      </c>
      <c r="B137" s="3283">
        <v>178.97</v>
      </c>
      <c r="C137" s="3281" t="s">
        <v>3454</v>
      </c>
      <c r="E137" s="3281" t="s">
        <v>3455</v>
      </c>
      <c r="J137" s="3284"/>
      <c r="K137" s="3284"/>
      <c r="L137" s="3284"/>
      <c r="M137" s="3288" t="s">
        <v>3650</v>
      </c>
    </row>
    <row r="138" spans="1:13" hidden="1">
      <c r="A138" s="3281" t="s">
        <v>3467</v>
      </c>
      <c r="J138" s="3284"/>
      <c r="K138" s="3284"/>
      <c r="L138" s="3284"/>
      <c r="M138" s="3288" t="s">
        <v>3650</v>
      </c>
    </row>
    <row r="139" spans="1:13" hidden="1">
      <c r="A139" s="3281" t="s">
        <v>3468</v>
      </c>
      <c r="B139" s="3283">
        <v>144.13</v>
      </c>
      <c r="C139" s="3281" t="s">
        <v>3448</v>
      </c>
      <c r="E139" s="3281" t="s">
        <v>3449</v>
      </c>
      <c r="J139" s="3284"/>
      <c r="K139" s="3284"/>
      <c r="L139" s="3284"/>
      <c r="M139" s="3288" t="s">
        <v>3650</v>
      </c>
    </row>
    <row r="140" spans="1:13" hidden="1">
      <c r="A140" s="3281" t="s">
        <v>3469</v>
      </c>
      <c r="B140" s="3283">
        <v>77.8</v>
      </c>
      <c r="C140" s="3281" t="s">
        <v>3451</v>
      </c>
      <c r="E140" s="3281" t="s">
        <v>3452</v>
      </c>
      <c r="J140" s="3284"/>
      <c r="K140" s="3284"/>
      <c r="L140" s="3284"/>
      <c r="M140" s="3288" t="s">
        <v>3650</v>
      </c>
    </row>
    <row r="141" spans="1:13" hidden="1">
      <c r="A141" s="3281" t="s">
        <v>3470</v>
      </c>
      <c r="B141" s="3283">
        <v>178.97</v>
      </c>
      <c r="C141" s="3281" t="s">
        <v>3454</v>
      </c>
      <c r="E141" s="3281" t="s">
        <v>3455</v>
      </c>
      <c r="J141" s="3284"/>
      <c r="K141" s="3284"/>
      <c r="L141" s="3284"/>
      <c r="M141" s="3288" t="s">
        <v>3650</v>
      </c>
    </row>
    <row r="142" spans="1:13" hidden="1">
      <c r="A142" s="3281" t="s">
        <v>3471</v>
      </c>
      <c r="B142" s="3283">
        <v>285.44</v>
      </c>
      <c r="C142" s="3281" t="s">
        <v>3457</v>
      </c>
      <c r="E142" s="3281" t="s">
        <v>3458</v>
      </c>
      <c r="J142" s="3284"/>
      <c r="K142" s="3284"/>
      <c r="L142" s="3284"/>
      <c r="M142" s="3288" t="s">
        <v>3650</v>
      </c>
    </row>
    <row r="143" spans="1:13" hidden="1">
      <c r="A143" s="3281" t="s">
        <v>3472</v>
      </c>
      <c r="B143" s="3283">
        <v>178.97</v>
      </c>
      <c r="C143" s="3281" t="s">
        <v>3454</v>
      </c>
      <c r="E143" s="3281" t="s">
        <v>3455</v>
      </c>
      <c r="J143" s="3284"/>
      <c r="K143" s="3284"/>
      <c r="L143" s="3284"/>
      <c r="M143" s="3288" t="s">
        <v>3650</v>
      </c>
    </row>
    <row r="144" spans="1:13" hidden="1">
      <c r="A144" s="3281" t="s">
        <v>3473</v>
      </c>
      <c r="B144" s="3283">
        <v>144.13</v>
      </c>
      <c r="C144" s="3281" t="s">
        <v>3448</v>
      </c>
      <c r="E144" s="3281" t="s">
        <v>3449</v>
      </c>
      <c r="J144" s="3284"/>
      <c r="K144" s="3284"/>
      <c r="L144" s="3284"/>
      <c r="M144" s="3288" t="s">
        <v>3650</v>
      </c>
    </row>
    <row r="145" spans="1:13" hidden="1">
      <c r="A145" s="3281" t="s">
        <v>3474</v>
      </c>
      <c r="B145" s="3283">
        <v>75</v>
      </c>
      <c r="C145" s="3281" t="s">
        <v>3462</v>
      </c>
      <c r="E145" s="3281" t="s">
        <v>3463</v>
      </c>
      <c r="J145" s="3284"/>
      <c r="K145" s="3284"/>
      <c r="L145" s="3284"/>
      <c r="M145" s="3288" t="s">
        <v>3650</v>
      </c>
    </row>
    <row r="146" spans="1:13" hidden="1">
      <c r="A146" s="3281" t="s">
        <v>3633</v>
      </c>
      <c r="B146" s="3281">
        <v>4524.41</v>
      </c>
      <c r="C146" s="3281">
        <v>3116.52</v>
      </c>
      <c r="E146" s="3281">
        <v>1407.89</v>
      </c>
      <c r="J146" s="3284"/>
      <c r="K146" s="3284"/>
      <c r="L146" s="3284"/>
      <c r="M146" s="3288" t="s">
        <v>3650</v>
      </c>
    </row>
    <row r="147" spans="1:13" hidden="1">
      <c r="A147" s="3281" t="s">
        <v>3634</v>
      </c>
      <c r="J147" s="3284"/>
      <c r="K147" s="3284"/>
      <c r="L147" s="3284"/>
      <c r="M147" s="3288" t="s">
        <v>3650</v>
      </c>
    </row>
    <row r="148" spans="1:13" hidden="1">
      <c r="A148" s="3281" t="s">
        <v>3626</v>
      </c>
      <c r="J148" s="3284"/>
      <c r="K148" s="3284"/>
      <c r="L148" s="3284"/>
      <c r="M148" s="3288" t="s">
        <v>3650</v>
      </c>
    </row>
    <row r="149" spans="1:13" hidden="1">
      <c r="A149" s="3281" t="s">
        <v>3627</v>
      </c>
      <c r="J149" s="3284"/>
      <c r="K149" s="3284"/>
      <c r="L149" s="3284"/>
      <c r="M149" s="3288" t="s">
        <v>3650</v>
      </c>
    </row>
    <row r="150" spans="1:13" hidden="1">
      <c r="A150" s="3281" t="s">
        <v>3278</v>
      </c>
      <c r="B150" s="3281" t="s">
        <v>3628</v>
      </c>
      <c r="C150" s="3281" t="s">
        <v>3279</v>
      </c>
      <c r="G150" s="3281" t="s">
        <v>3629</v>
      </c>
      <c r="J150" s="3284"/>
      <c r="K150" s="3284"/>
      <c r="L150" s="3284"/>
      <c r="M150" s="3288" t="s">
        <v>3650</v>
      </c>
    </row>
    <row r="151" spans="1:13" hidden="1">
      <c r="C151" s="3281" t="s">
        <v>3630</v>
      </c>
      <c r="D151" s="3281" t="s">
        <v>3631</v>
      </c>
      <c r="E151" s="3281" t="s">
        <v>3632</v>
      </c>
      <c r="G151" s="3281">
        <v>0.45174799999999998</v>
      </c>
      <c r="J151" s="3284"/>
      <c r="K151" s="3284"/>
      <c r="L151" s="3284"/>
      <c r="M151" s="3288" t="s">
        <v>3650</v>
      </c>
    </row>
    <row r="152" spans="1:13" hidden="1">
      <c r="G152" s="3281" t="s">
        <v>3280</v>
      </c>
      <c r="J152" s="3284"/>
      <c r="K152" s="3284"/>
      <c r="L152" s="3284"/>
      <c r="M152" s="3288" t="s">
        <v>3650</v>
      </c>
    </row>
    <row r="153" spans="1:13" hidden="1">
      <c r="A153" s="3281" t="s">
        <v>3475</v>
      </c>
      <c r="B153" s="3283">
        <v>178.97</v>
      </c>
      <c r="C153" s="3281" t="s">
        <v>3454</v>
      </c>
      <c r="E153" s="3281" t="s">
        <v>3455</v>
      </c>
      <c r="J153" s="3284"/>
      <c r="K153" s="3284"/>
      <c r="L153" s="3284"/>
      <c r="M153" s="3288" t="s">
        <v>3650</v>
      </c>
    </row>
    <row r="154" spans="1:13" hidden="1">
      <c r="A154" s="3281" t="s">
        <v>3476</v>
      </c>
      <c r="B154" s="3283">
        <v>285.44</v>
      </c>
      <c r="C154" s="3281" t="s">
        <v>3457</v>
      </c>
      <c r="E154" s="3281" t="s">
        <v>3458</v>
      </c>
      <c r="J154" s="3284"/>
      <c r="K154" s="3284"/>
      <c r="L154" s="3284"/>
      <c r="M154" s="3288" t="s">
        <v>3650</v>
      </c>
    </row>
    <row r="155" spans="1:13" hidden="1">
      <c r="A155" s="3281" t="s">
        <v>3477</v>
      </c>
      <c r="B155" s="3283">
        <v>178.97</v>
      </c>
      <c r="C155" s="3281" t="s">
        <v>3454</v>
      </c>
      <c r="E155" s="3281" t="s">
        <v>3455</v>
      </c>
      <c r="J155" s="3284"/>
      <c r="K155" s="3284"/>
      <c r="L155" s="3284"/>
      <c r="M155" s="3288" t="s">
        <v>3650</v>
      </c>
    </row>
    <row r="156" spans="1:13" hidden="1">
      <c r="A156" s="3281" t="s">
        <v>3478</v>
      </c>
      <c r="J156" s="3284"/>
      <c r="K156" s="3284"/>
      <c r="L156" s="3284"/>
      <c r="M156" s="3288" t="s">
        <v>3650</v>
      </c>
    </row>
    <row r="157" spans="1:13" hidden="1">
      <c r="A157" s="3281" t="s">
        <v>3479</v>
      </c>
      <c r="B157" s="3283">
        <v>144.13</v>
      </c>
      <c r="C157" s="3281" t="s">
        <v>3448</v>
      </c>
      <c r="E157" s="3281" t="s">
        <v>3449</v>
      </c>
      <c r="J157" s="3284"/>
      <c r="K157" s="3284"/>
      <c r="L157" s="3284"/>
      <c r="M157" s="3288" t="s">
        <v>3650</v>
      </c>
    </row>
    <row r="158" spans="1:13" hidden="1">
      <c r="A158" s="3281" t="s">
        <v>3480</v>
      </c>
      <c r="B158" s="3283">
        <v>77.8</v>
      </c>
      <c r="C158" s="3281" t="s">
        <v>3451</v>
      </c>
      <c r="E158" s="3281" t="s">
        <v>3452</v>
      </c>
      <c r="J158" s="3284"/>
      <c r="K158" s="3284"/>
      <c r="L158" s="3284"/>
      <c r="M158" s="3288" t="s">
        <v>3650</v>
      </c>
    </row>
    <row r="159" spans="1:13" hidden="1">
      <c r="A159" s="3281" t="s">
        <v>3481</v>
      </c>
      <c r="B159" s="3283">
        <v>178.97</v>
      </c>
      <c r="C159" s="3281" t="s">
        <v>3454</v>
      </c>
      <c r="E159" s="3281" t="s">
        <v>3455</v>
      </c>
      <c r="J159" s="3284"/>
      <c r="K159" s="3284"/>
      <c r="L159" s="3284"/>
      <c r="M159" s="3288" t="s">
        <v>3650</v>
      </c>
    </row>
    <row r="160" spans="1:13" hidden="1">
      <c r="A160" s="3281" t="s">
        <v>3482</v>
      </c>
      <c r="B160" s="3283">
        <v>285.44</v>
      </c>
      <c r="C160" s="3281" t="s">
        <v>3457</v>
      </c>
      <c r="E160" s="3281" t="s">
        <v>3458</v>
      </c>
      <c r="J160" s="3284"/>
      <c r="K160" s="3284"/>
      <c r="L160" s="3284"/>
      <c r="M160" s="3288" t="s">
        <v>3650</v>
      </c>
    </row>
    <row r="161" spans="1:13" hidden="1">
      <c r="A161" s="3281" t="s">
        <v>3483</v>
      </c>
      <c r="B161" s="3283">
        <v>178.97</v>
      </c>
      <c r="C161" s="3281" t="s">
        <v>3454</v>
      </c>
      <c r="E161" s="3281" t="s">
        <v>3455</v>
      </c>
      <c r="J161" s="3284"/>
      <c r="K161" s="3284"/>
      <c r="L161" s="3284"/>
      <c r="M161" s="3288" t="s">
        <v>3650</v>
      </c>
    </row>
    <row r="162" spans="1:13" hidden="1">
      <c r="A162" s="3281" t="s">
        <v>3484</v>
      </c>
      <c r="B162" s="3283">
        <v>144.13</v>
      </c>
      <c r="C162" s="3281" t="s">
        <v>3448</v>
      </c>
      <c r="E162" s="3281" t="s">
        <v>3449</v>
      </c>
      <c r="J162" s="3284"/>
      <c r="K162" s="3284"/>
      <c r="L162" s="3284"/>
      <c r="M162" s="3288" t="s">
        <v>3650</v>
      </c>
    </row>
    <row r="163" spans="1:13" hidden="1">
      <c r="A163" s="3281" t="s">
        <v>3485</v>
      </c>
      <c r="B163" s="3283">
        <v>75</v>
      </c>
      <c r="C163" s="3281" t="s">
        <v>3462</v>
      </c>
      <c r="E163" s="3281" t="s">
        <v>3463</v>
      </c>
      <c r="J163" s="3284"/>
      <c r="K163" s="3284"/>
      <c r="L163" s="3284"/>
      <c r="M163" s="3288" t="s">
        <v>3650</v>
      </c>
    </row>
    <row r="164" spans="1:13" hidden="1">
      <c r="A164" s="3281" t="s">
        <v>3486</v>
      </c>
      <c r="B164" s="3283">
        <v>178.97</v>
      </c>
      <c r="C164" s="3281" t="s">
        <v>3454</v>
      </c>
      <c r="E164" s="3281" t="s">
        <v>3455</v>
      </c>
      <c r="J164" s="3284"/>
      <c r="K164" s="3284"/>
      <c r="L164" s="3284"/>
      <c r="M164" s="3288" t="s">
        <v>3650</v>
      </c>
    </row>
    <row r="165" spans="1:13" hidden="1">
      <c r="A165" s="3281" t="s">
        <v>3487</v>
      </c>
      <c r="B165" s="3283">
        <v>285.44</v>
      </c>
      <c r="C165" s="3281" t="s">
        <v>3457</v>
      </c>
      <c r="E165" s="3281" t="s">
        <v>3458</v>
      </c>
      <c r="J165" s="3284"/>
      <c r="K165" s="3284"/>
      <c r="L165" s="3284"/>
      <c r="M165" s="3288" t="s">
        <v>3650</v>
      </c>
    </row>
    <row r="166" spans="1:13" hidden="1">
      <c r="A166" s="3281" t="s">
        <v>3488</v>
      </c>
      <c r="B166" s="3283">
        <v>178.97</v>
      </c>
      <c r="C166" s="3281" t="s">
        <v>3454</v>
      </c>
      <c r="E166" s="3281" t="s">
        <v>3455</v>
      </c>
      <c r="J166" s="3284"/>
      <c r="K166" s="3284"/>
      <c r="L166" s="3284"/>
      <c r="M166" s="3288" t="s">
        <v>3650</v>
      </c>
    </row>
    <row r="167" spans="1:13" hidden="1">
      <c r="A167" s="3281" t="s">
        <v>3489</v>
      </c>
      <c r="J167" s="3284"/>
      <c r="K167" s="3284"/>
      <c r="L167" s="3284"/>
      <c r="M167" s="3288" t="s">
        <v>3650</v>
      </c>
    </row>
    <row r="168" spans="1:13" hidden="1">
      <c r="A168" s="3281" t="s">
        <v>3490</v>
      </c>
      <c r="B168" s="3283">
        <v>144.13</v>
      </c>
      <c r="C168" s="3281" t="s">
        <v>3448</v>
      </c>
      <c r="E168" s="3281" t="s">
        <v>3449</v>
      </c>
      <c r="J168" s="3284"/>
      <c r="K168" s="3284"/>
      <c r="L168" s="3284"/>
      <c r="M168" s="3288" t="s">
        <v>3650</v>
      </c>
    </row>
    <row r="169" spans="1:13" hidden="1">
      <c r="A169" s="3281" t="s">
        <v>3491</v>
      </c>
      <c r="B169" s="3283">
        <v>77.8</v>
      </c>
      <c r="C169" s="3281" t="s">
        <v>3451</v>
      </c>
      <c r="E169" s="3281" t="s">
        <v>3452</v>
      </c>
      <c r="J169" s="3284"/>
      <c r="K169" s="3284"/>
      <c r="L169" s="3284"/>
      <c r="M169" s="3288" t="s">
        <v>3650</v>
      </c>
    </row>
    <row r="170" spans="1:13" hidden="1">
      <c r="A170" s="3281" t="s">
        <v>3492</v>
      </c>
      <c r="B170" s="3283">
        <v>178.97</v>
      </c>
      <c r="C170" s="3281" t="s">
        <v>3454</v>
      </c>
      <c r="E170" s="3281" t="s">
        <v>3455</v>
      </c>
      <c r="J170" s="3284"/>
      <c r="K170" s="3284"/>
      <c r="L170" s="3284"/>
      <c r="M170" s="3288" t="s">
        <v>3650</v>
      </c>
    </row>
    <row r="171" spans="1:13" hidden="1">
      <c r="A171" s="3281" t="s">
        <v>3493</v>
      </c>
      <c r="B171" s="3283">
        <v>285.44</v>
      </c>
      <c r="C171" s="3281" t="s">
        <v>3457</v>
      </c>
      <c r="E171" s="3281" t="s">
        <v>3458</v>
      </c>
      <c r="J171" s="3284"/>
      <c r="K171" s="3284"/>
      <c r="L171" s="3284"/>
      <c r="M171" s="3288" t="s">
        <v>3650</v>
      </c>
    </row>
    <row r="172" spans="1:13" hidden="1">
      <c r="A172" s="3281" t="s">
        <v>3494</v>
      </c>
      <c r="B172" s="3283">
        <v>178.97</v>
      </c>
      <c r="C172" s="3281" t="s">
        <v>3454</v>
      </c>
      <c r="E172" s="3281" t="s">
        <v>3455</v>
      </c>
      <c r="J172" s="3284"/>
      <c r="K172" s="3284"/>
      <c r="L172" s="3284"/>
      <c r="M172" s="3288" t="s">
        <v>3650</v>
      </c>
    </row>
    <row r="173" spans="1:13" hidden="1">
      <c r="A173" s="3281" t="s">
        <v>3495</v>
      </c>
      <c r="B173" s="3283">
        <v>144.13</v>
      </c>
      <c r="C173" s="3281" t="s">
        <v>3448</v>
      </c>
      <c r="E173" s="3281" t="s">
        <v>3449</v>
      </c>
      <c r="J173" s="3284"/>
      <c r="K173" s="3284"/>
      <c r="L173" s="3284"/>
      <c r="M173" s="3288" t="s">
        <v>3650</v>
      </c>
    </row>
    <row r="174" spans="1:13" hidden="1">
      <c r="A174" s="3281" t="s">
        <v>3496</v>
      </c>
      <c r="B174" s="3283">
        <v>75</v>
      </c>
      <c r="C174" s="3281" t="s">
        <v>3462</v>
      </c>
      <c r="E174" s="3281" t="s">
        <v>3463</v>
      </c>
      <c r="J174" s="3284"/>
      <c r="K174" s="3284"/>
      <c r="L174" s="3284"/>
      <c r="M174" s="3288" t="s">
        <v>3650</v>
      </c>
    </row>
    <row r="175" spans="1:13" hidden="1">
      <c r="A175" s="3281" t="s">
        <v>3497</v>
      </c>
      <c r="B175" s="3283">
        <v>178.97</v>
      </c>
      <c r="C175" s="3281" t="s">
        <v>3454</v>
      </c>
      <c r="E175" s="3281" t="s">
        <v>3455</v>
      </c>
      <c r="J175" s="3284"/>
      <c r="K175" s="3284"/>
      <c r="L175" s="3284"/>
      <c r="M175" s="3288" t="s">
        <v>3650</v>
      </c>
    </row>
    <row r="176" spans="1:13" hidden="1">
      <c r="A176" s="3281" t="s">
        <v>3498</v>
      </c>
      <c r="B176" s="3283">
        <v>285.44</v>
      </c>
      <c r="C176" s="3281" t="s">
        <v>3457</v>
      </c>
      <c r="E176" s="3281" t="s">
        <v>3458</v>
      </c>
      <c r="J176" s="3284"/>
      <c r="K176" s="3284"/>
      <c r="L176" s="3284"/>
      <c r="M176" s="3288" t="s">
        <v>3650</v>
      </c>
    </row>
    <row r="177" spans="1:13" hidden="1">
      <c r="A177" s="3281" t="s">
        <v>3499</v>
      </c>
      <c r="B177" s="3283">
        <v>178.97</v>
      </c>
      <c r="C177" s="3281" t="s">
        <v>3454</v>
      </c>
      <c r="E177" s="3281" t="s">
        <v>3455</v>
      </c>
      <c r="J177" s="3284"/>
      <c r="K177" s="3284"/>
      <c r="L177" s="3284"/>
      <c r="M177" s="3288" t="s">
        <v>3650</v>
      </c>
    </row>
    <row r="178" spans="1:13" hidden="1">
      <c r="A178" s="3281" t="s">
        <v>3500</v>
      </c>
      <c r="J178" s="3284"/>
      <c r="K178" s="3284"/>
      <c r="L178" s="3284"/>
      <c r="M178" s="3288" t="s">
        <v>3650</v>
      </c>
    </row>
    <row r="179" spans="1:13" hidden="1">
      <c r="A179" s="3281" t="s">
        <v>3501</v>
      </c>
      <c r="B179" s="3283">
        <v>36.1</v>
      </c>
      <c r="C179" s="3281" t="s">
        <v>3502</v>
      </c>
      <c r="E179" s="3281" t="s">
        <v>3503</v>
      </c>
      <c r="J179" s="3284"/>
      <c r="K179" s="3284"/>
      <c r="L179" s="3284"/>
      <c r="M179" s="3288" t="s">
        <v>3650</v>
      </c>
    </row>
    <row r="180" spans="1:13" hidden="1">
      <c r="A180" s="3281" t="s">
        <v>3504</v>
      </c>
      <c r="B180" s="3283">
        <v>539.63</v>
      </c>
      <c r="C180" s="3281" t="s">
        <v>3505</v>
      </c>
      <c r="E180" s="3281" t="s">
        <v>3506</v>
      </c>
      <c r="J180" s="3284"/>
      <c r="K180" s="3284"/>
      <c r="L180" s="3284"/>
      <c r="M180" s="3288" t="s">
        <v>3650</v>
      </c>
    </row>
    <row r="181" spans="1:13" hidden="1">
      <c r="A181" s="3281" t="s">
        <v>3507</v>
      </c>
      <c r="B181" s="3283">
        <v>86.79</v>
      </c>
      <c r="C181" s="3281" t="s">
        <v>3508</v>
      </c>
      <c r="E181" s="3281" t="s">
        <v>3509</v>
      </c>
      <c r="J181" s="3284"/>
      <c r="K181" s="3284"/>
      <c r="L181" s="3284"/>
      <c r="M181" s="3288" t="s">
        <v>3650</v>
      </c>
    </row>
    <row r="182" spans="1:13" hidden="1">
      <c r="A182" s="3281" t="s">
        <v>3510</v>
      </c>
      <c r="J182" s="3284"/>
      <c r="K182" s="3284"/>
      <c r="L182" s="3284"/>
      <c r="M182" s="3288" t="s">
        <v>3650</v>
      </c>
    </row>
    <row r="183" spans="1:13" hidden="1">
      <c r="A183" s="3281" t="s">
        <v>3633</v>
      </c>
      <c r="B183" s="3281">
        <v>4761.54</v>
      </c>
      <c r="C183" s="3281">
        <v>3279.88</v>
      </c>
      <c r="E183" s="3281">
        <v>1481.66</v>
      </c>
      <c r="J183" s="3284"/>
      <c r="K183" s="3284"/>
      <c r="L183" s="3284"/>
      <c r="M183" s="3288" t="s">
        <v>3650</v>
      </c>
    </row>
    <row r="184" spans="1:13" hidden="1">
      <c r="A184" s="3281" t="s">
        <v>3634</v>
      </c>
      <c r="J184" s="3284"/>
      <c r="K184" s="3284"/>
      <c r="L184" s="3284"/>
      <c r="M184" s="3288" t="s">
        <v>3650</v>
      </c>
    </row>
    <row r="185" spans="1:13" hidden="1">
      <c r="A185" s="3281" t="s">
        <v>3626</v>
      </c>
      <c r="J185" s="3284"/>
      <c r="K185" s="3284"/>
      <c r="L185" s="3284"/>
      <c r="M185" s="3288" t="s">
        <v>3650</v>
      </c>
    </row>
    <row r="186" spans="1:13" hidden="1">
      <c r="A186" s="3281" t="s">
        <v>3627</v>
      </c>
      <c r="J186" s="3284"/>
      <c r="K186" s="3284"/>
      <c r="L186" s="3284"/>
      <c r="M186" s="3288" t="s">
        <v>3650</v>
      </c>
    </row>
    <row r="187" spans="1:13" hidden="1">
      <c r="A187" s="3281" t="s">
        <v>3278</v>
      </c>
      <c r="B187" s="3281" t="s">
        <v>3628</v>
      </c>
      <c r="C187" s="3281" t="s">
        <v>3279</v>
      </c>
      <c r="G187" s="3281" t="s">
        <v>3629</v>
      </c>
      <c r="J187" s="3284"/>
      <c r="K187" s="3284"/>
      <c r="L187" s="3284"/>
      <c r="M187" s="3288" t="s">
        <v>3650</v>
      </c>
    </row>
    <row r="188" spans="1:13" hidden="1">
      <c r="C188" s="3281" t="s">
        <v>3630</v>
      </c>
      <c r="D188" s="3281" t="s">
        <v>3631</v>
      </c>
      <c r="E188" s="3281" t="s">
        <v>3632</v>
      </c>
      <c r="G188" s="3281">
        <v>0.45174799999999998</v>
      </c>
      <c r="J188" s="3284"/>
      <c r="K188" s="3284"/>
      <c r="L188" s="3284"/>
      <c r="M188" s="3288" t="s">
        <v>3650</v>
      </c>
    </row>
    <row r="189" spans="1:13" hidden="1">
      <c r="G189" s="3281" t="s">
        <v>3280</v>
      </c>
      <c r="J189" s="3284"/>
      <c r="K189" s="3284"/>
      <c r="L189" s="3284"/>
      <c r="M189" s="3288" t="s">
        <v>3650</v>
      </c>
    </row>
    <row r="190" spans="1:13" hidden="1">
      <c r="A190" s="3281" t="s">
        <v>3511</v>
      </c>
      <c r="B190" s="3283">
        <v>440.29</v>
      </c>
      <c r="C190" s="3281" t="s">
        <v>3512</v>
      </c>
      <c r="E190" s="3281" t="s">
        <v>3513</v>
      </c>
      <c r="J190" s="3284"/>
      <c r="K190" s="3284"/>
      <c r="L190" s="3284"/>
      <c r="M190" s="3288" t="s">
        <v>3650</v>
      </c>
    </row>
    <row r="191" spans="1:13" hidden="1">
      <c r="A191" s="3281" t="s">
        <v>3514</v>
      </c>
      <c r="B191" s="3283">
        <v>554.89</v>
      </c>
      <c r="C191" s="3281" t="s">
        <v>3515</v>
      </c>
      <c r="E191" s="3281" t="s">
        <v>3516</v>
      </c>
      <c r="J191" s="3284"/>
      <c r="K191" s="3284"/>
      <c r="L191" s="3284"/>
      <c r="M191" s="3288" t="s">
        <v>3650</v>
      </c>
    </row>
    <row r="192" spans="1:13" hidden="1">
      <c r="A192" s="3281" t="s">
        <v>3517</v>
      </c>
      <c r="B192" s="3283">
        <v>487.54</v>
      </c>
      <c r="C192" s="3281" t="s">
        <v>3518</v>
      </c>
      <c r="E192" s="3281" t="s">
        <v>3519</v>
      </c>
      <c r="J192" s="3284"/>
      <c r="K192" s="3284"/>
      <c r="L192" s="3284"/>
      <c r="M192" s="3288" t="s">
        <v>3650</v>
      </c>
    </row>
    <row r="193" spans="1:13" hidden="1">
      <c r="A193" s="3281" t="s">
        <v>3520</v>
      </c>
      <c r="B193" s="3283">
        <v>435.39</v>
      </c>
      <c r="C193" s="3281" t="s">
        <v>3521</v>
      </c>
      <c r="E193" s="3281" t="s">
        <v>3522</v>
      </c>
      <c r="J193" s="3284"/>
      <c r="K193" s="3284"/>
      <c r="L193" s="3284"/>
      <c r="M193" s="3288" t="s">
        <v>3650</v>
      </c>
    </row>
    <row r="194" spans="1:13" hidden="1">
      <c r="A194" s="3281" t="s">
        <v>3523</v>
      </c>
      <c r="J194" s="3284"/>
      <c r="K194" s="3284"/>
      <c r="L194" s="3284"/>
      <c r="M194" s="3288" t="s">
        <v>3650</v>
      </c>
    </row>
    <row r="195" spans="1:13" hidden="1">
      <c r="A195" s="3281" t="s">
        <v>3524</v>
      </c>
      <c r="B195" s="3283">
        <v>440.29</v>
      </c>
      <c r="C195" s="3281" t="s">
        <v>3512</v>
      </c>
      <c r="E195" s="3281" t="s">
        <v>3513</v>
      </c>
      <c r="J195" s="3284"/>
      <c r="K195" s="3284"/>
      <c r="L195" s="3284"/>
      <c r="M195" s="3288" t="s">
        <v>3650</v>
      </c>
    </row>
    <row r="196" spans="1:13" hidden="1">
      <c r="A196" s="3281" t="s">
        <v>3525</v>
      </c>
      <c r="B196" s="3283">
        <v>554.89</v>
      </c>
      <c r="C196" s="3281" t="s">
        <v>3515</v>
      </c>
      <c r="E196" s="3281" t="s">
        <v>3516</v>
      </c>
      <c r="J196" s="3284"/>
      <c r="K196" s="3284"/>
      <c r="L196" s="3284"/>
      <c r="M196" s="3288" t="s">
        <v>3650</v>
      </c>
    </row>
    <row r="197" spans="1:13" hidden="1">
      <c r="A197" s="3281" t="s">
        <v>3526</v>
      </c>
      <c r="B197" s="3283">
        <v>487.54</v>
      </c>
      <c r="C197" s="3281" t="s">
        <v>3518</v>
      </c>
      <c r="E197" s="3281" t="s">
        <v>3519</v>
      </c>
      <c r="J197" s="3284"/>
      <c r="K197" s="3284"/>
      <c r="L197" s="3284"/>
      <c r="M197" s="3288" t="s">
        <v>3650</v>
      </c>
    </row>
    <row r="198" spans="1:13" hidden="1">
      <c r="A198" s="3281" t="s">
        <v>3527</v>
      </c>
      <c r="B198" s="3283">
        <v>435.39</v>
      </c>
      <c r="C198" s="3281" t="s">
        <v>3521</v>
      </c>
      <c r="E198" s="3281" t="s">
        <v>3522</v>
      </c>
      <c r="J198" s="3284"/>
      <c r="K198" s="3284"/>
      <c r="L198" s="3284"/>
      <c r="M198" s="3288" t="s">
        <v>3650</v>
      </c>
    </row>
    <row r="199" spans="1:13" hidden="1">
      <c r="A199" s="3281" t="s">
        <v>3528</v>
      </c>
      <c r="J199" s="3284"/>
      <c r="K199" s="3284"/>
      <c r="L199" s="3284"/>
      <c r="M199" s="3288" t="s">
        <v>3650</v>
      </c>
    </row>
    <row r="200" spans="1:13" hidden="1">
      <c r="A200" s="3281" t="s">
        <v>3529</v>
      </c>
      <c r="B200" s="3283">
        <v>440.29</v>
      </c>
      <c r="C200" s="3281" t="s">
        <v>3512</v>
      </c>
      <c r="E200" s="3281" t="s">
        <v>3513</v>
      </c>
      <c r="J200" s="3284"/>
      <c r="K200" s="3284"/>
      <c r="L200" s="3284"/>
      <c r="M200" s="3288" t="s">
        <v>3650</v>
      </c>
    </row>
    <row r="201" spans="1:13" hidden="1">
      <c r="A201" s="3281" t="s">
        <v>3530</v>
      </c>
      <c r="B201" s="3283">
        <v>554.89</v>
      </c>
      <c r="C201" s="3281" t="s">
        <v>3515</v>
      </c>
      <c r="E201" s="3281" t="s">
        <v>3516</v>
      </c>
      <c r="J201" s="3284"/>
      <c r="K201" s="3284"/>
      <c r="L201" s="3284"/>
      <c r="M201" s="3288" t="s">
        <v>3650</v>
      </c>
    </row>
    <row r="202" spans="1:13" hidden="1">
      <c r="A202" s="3281" t="s">
        <v>3531</v>
      </c>
      <c r="B202" s="3283">
        <v>487.54</v>
      </c>
      <c r="C202" s="3281" t="s">
        <v>3518</v>
      </c>
      <c r="E202" s="3281" t="s">
        <v>3519</v>
      </c>
      <c r="J202" s="3284"/>
      <c r="K202" s="3284"/>
      <c r="L202" s="3284"/>
      <c r="M202" s="3288" t="s">
        <v>3650</v>
      </c>
    </row>
    <row r="203" spans="1:13" hidden="1">
      <c r="A203" s="3281" t="s">
        <v>3532</v>
      </c>
      <c r="B203" s="3283">
        <v>435.39</v>
      </c>
      <c r="C203" s="3281" t="s">
        <v>3521</v>
      </c>
      <c r="E203" s="3281" t="s">
        <v>3522</v>
      </c>
      <c r="J203" s="3284"/>
      <c r="K203" s="3284"/>
      <c r="L203" s="3284"/>
      <c r="M203" s="3288" t="s">
        <v>3650</v>
      </c>
    </row>
    <row r="204" spans="1:13" hidden="1">
      <c r="A204" s="3281" t="s">
        <v>3533</v>
      </c>
      <c r="J204" s="3284"/>
      <c r="K204" s="3284"/>
      <c r="L204" s="3284"/>
      <c r="M204" s="3288" t="s">
        <v>3650</v>
      </c>
    </row>
    <row r="205" spans="1:13" hidden="1">
      <c r="A205" s="3281" t="s">
        <v>3534</v>
      </c>
      <c r="B205" s="3283">
        <v>440.29</v>
      </c>
      <c r="C205" s="3281" t="s">
        <v>3512</v>
      </c>
      <c r="E205" s="3281" t="s">
        <v>3513</v>
      </c>
      <c r="J205" s="3284"/>
      <c r="K205" s="3284"/>
      <c r="L205" s="3284"/>
      <c r="M205" s="3288" t="s">
        <v>3650</v>
      </c>
    </row>
    <row r="206" spans="1:13" hidden="1">
      <c r="A206" s="3281" t="s">
        <v>3535</v>
      </c>
      <c r="B206" s="3283">
        <v>554.89</v>
      </c>
      <c r="C206" s="3281" t="s">
        <v>3515</v>
      </c>
      <c r="E206" s="3281" t="s">
        <v>3516</v>
      </c>
      <c r="J206" s="3284"/>
      <c r="K206" s="3284"/>
      <c r="L206" s="3284"/>
      <c r="M206" s="3288" t="s">
        <v>3650</v>
      </c>
    </row>
    <row r="207" spans="1:13" hidden="1">
      <c r="A207" s="3281" t="s">
        <v>3536</v>
      </c>
      <c r="B207" s="3283">
        <v>487.54</v>
      </c>
      <c r="C207" s="3281" t="s">
        <v>3518</v>
      </c>
      <c r="E207" s="3281" t="s">
        <v>3519</v>
      </c>
      <c r="J207" s="3284"/>
      <c r="K207" s="3284"/>
      <c r="L207" s="3284"/>
      <c r="M207" s="3288" t="s">
        <v>3650</v>
      </c>
    </row>
    <row r="208" spans="1:13" hidden="1">
      <c r="A208" s="3281" t="s">
        <v>3537</v>
      </c>
      <c r="B208" s="3283">
        <v>435.39</v>
      </c>
      <c r="C208" s="3281" t="s">
        <v>3521</v>
      </c>
      <c r="E208" s="3281" t="s">
        <v>3522</v>
      </c>
      <c r="J208" s="3284"/>
      <c r="K208" s="3284"/>
      <c r="L208" s="3284"/>
      <c r="M208" s="3288" t="s">
        <v>3650</v>
      </c>
    </row>
    <row r="209" spans="1:13" hidden="1">
      <c r="A209" s="3281" t="s">
        <v>3538</v>
      </c>
      <c r="J209" s="3284"/>
      <c r="K209" s="3284"/>
      <c r="L209" s="3284"/>
      <c r="M209" s="3288" t="s">
        <v>3650</v>
      </c>
    </row>
    <row r="210" spans="1:13" hidden="1">
      <c r="A210" s="3281" t="s">
        <v>3539</v>
      </c>
      <c r="B210" s="3283">
        <v>441.91</v>
      </c>
      <c r="C210" s="3281" t="s">
        <v>3540</v>
      </c>
      <c r="E210" s="3281" t="s">
        <v>3541</v>
      </c>
      <c r="J210" s="3284"/>
      <c r="K210" s="3284"/>
      <c r="L210" s="3284"/>
      <c r="M210" s="3288" t="s">
        <v>3650</v>
      </c>
    </row>
    <row r="211" spans="1:13" hidden="1">
      <c r="A211" s="3281" t="s">
        <v>3542</v>
      </c>
      <c r="B211" s="3283">
        <v>557.02</v>
      </c>
      <c r="C211" s="3281" t="s">
        <v>3543</v>
      </c>
      <c r="E211" s="3281" t="s">
        <v>3544</v>
      </c>
      <c r="J211" s="3284"/>
      <c r="K211" s="3284"/>
      <c r="L211" s="3284"/>
      <c r="M211" s="3288" t="s">
        <v>3650</v>
      </c>
    </row>
    <row r="212" spans="1:13" hidden="1">
      <c r="A212" s="3281" t="s">
        <v>3545</v>
      </c>
      <c r="B212" s="3283">
        <v>488.46</v>
      </c>
      <c r="C212" s="3281" t="s">
        <v>3546</v>
      </c>
      <c r="E212" s="3281" t="s">
        <v>3547</v>
      </c>
      <c r="J212" s="3284"/>
      <c r="K212" s="3284"/>
      <c r="L212" s="3284"/>
      <c r="M212" s="3288" t="s">
        <v>3650</v>
      </c>
    </row>
    <row r="213" spans="1:13" hidden="1">
      <c r="A213" s="3281" t="s">
        <v>3548</v>
      </c>
      <c r="B213" s="3283">
        <v>437.61</v>
      </c>
      <c r="C213" s="3281" t="s">
        <v>3549</v>
      </c>
      <c r="E213" s="3281" t="s">
        <v>3550</v>
      </c>
      <c r="J213" s="3284"/>
      <c r="K213" s="3284"/>
      <c r="L213" s="3284"/>
      <c r="M213" s="3288" t="s">
        <v>3650</v>
      </c>
    </row>
    <row r="214" spans="1:13" hidden="1">
      <c r="A214" s="3281" t="s">
        <v>3551</v>
      </c>
      <c r="J214" s="3284"/>
      <c r="K214" s="3284"/>
      <c r="L214" s="3284"/>
      <c r="M214" s="3288" t="s">
        <v>3650</v>
      </c>
    </row>
    <row r="215" spans="1:13" hidden="1">
      <c r="A215" s="3281" t="s">
        <v>3552</v>
      </c>
      <c r="B215" s="3283">
        <v>441.91</v>
      </c>
      <c r="C215" s="3281" t="s">
        <v>3540</v>
      </c>
      <c r="E215" s="3281" t="s">
        <v>3541</v>
      </c>
      <c r="J215" s="3284"/>
      <c r="K215" s="3284"/>
      <c r="L215" s="3284"/>
      <c r="M215" s="3288" t="s">
        <v>3650</v>
      </c>
    </row>
    <row r="216" spans="1:13" hidden="1">
      <c r="A216" s="3281" t="s">
        <v>3553</v>
      </c>
      <c r="B216" s="3283">
        <v>557.02</v>
      </c>
      <c r="C216" s="3281" t="s">
        <v>3543</v>
      </c>
      <c r="E216" s="3281" t="s">
        <v>3544</v>
      </c>
      <c r="J216" s="3284"/>
      <c r="K216" s="3284"/>
      <c r="L216" s="3284"/>
      <c r="M216" s="3288" t="s">
        <v>3650</v>
      </c>
    </row>
    <row r="217" spans="1:13" hidden="1">
      <c r="A217" s="3281" t="s">
        <v>3554</v>
      </c>
      <c r="B217" s="3283">
        <v>488.46</v>
      </c>
      <c r="C217" s="3281" t="s">
        <v>3546</v>
      </c>
      <c r="E217" s="3281" t="s">
        <v>3547</v>
      </c>
      <c r="J217" s="3284"/>
      <c r="K217" s="3284"/>
      <c r="L217" s="3284"/>
      <c r="M217" s="3288" t="s">
        <v>3650</v>
      </c>
    </row>
    <row r="218" spans="1:13" hidden="1">
      <c r="A218" s="3281" t="s">
        <v>3555</v>
      </c>
      <c r="B218" s="3283">
        <v>437.61</v>
      </c>
      <c r="C218" s="3281" t="s">
        <v>3549</v>
      </c>
      <c r="E218" s="3281" t="s">
        <v>3550</v>
      </c>
      <c r="J218" s="3284"/>
      <c r="K218" s="3284"/>
      <c r="L218" s="3284"/>
      <c r="M218" s="3288" t="s">
        <v>3650</v>
      </c>
    </row>
    <row r="219" spans="1:13" hidden="1">
      <c r="A219" s="3281" t="s">
        <v>3556</v>
      </c>
      <c r="J219" s="3284"/>
      <c r="K219" s="3284"/>
      <c r="L219" s="3284"/>
      <c r="M219" s="3288" t="s">
        <v>3650</v>
      </c>
    </row>
    <row r="220" spans="1:13" hidden="1">
      <c r="A220" s="3281" t="s">
        <v>3633</v>
      </c>
      <c r="B220" s="3281">
        <v>11522.44</v>
      </c>
      <c r="C220" s="3281">
        <v>7936.94</v>
      </c>
      <c r="E220" s="3281">
        <v>3585.5</v>
      </c>
      <c r="J220" s="3284"/>
      <c r="K220" s="3284"/>
      <c r="L220" s="3284"/>
      <c r="M220" s="3288" t="s">
        <v>3650</v>
      </c>
    </row>
    <row r="221" spans="1:13" hidden="1">
      <c r="A221" s="3281" t="s">
        <v>3634</v>
      </c>
      <c r="J221" s="3284"/>
      <c r="K221" s="3284"/>
      <c r="L221" s="3284"/>
      <c r="M221" s="3288" t="s">
        <v>3650</v>
      </c>
    </row>
    <row r="222" spans="1:13" hidden="1">
      <c r="A222" s="3281" t="s">
        <v>3626</v>
      </c>
      <c r="J222" s="3284"/>
      <c r="K222" s="3284"/>
      <c r="L222" s="3284"/>
      <c r="M222" s="3288" t="s">
        <v>3650</v>
      </c>
    </row>
    <row r="223" spans="1:13" hidden="1">
      <c r="A223" s="3281" t="s">
        <v>3627</v>
      </c>
      <c r="J223" s="3284"/>
      <c r="K223" s="3284"/>
      <c r="L223" s="3284"/>
      <c r="M223" s="3288" t="s">
        <v>3650</v>
      </c>
    </row>
    <row r="224" spans="1:13" hidden="1">
      <c r="A224" s="3281" t="s">
        <v>3278</v>
      </c>
      <c r="B224" s="3281" t="s">
        <v>3628</v>
      </c>
      <c r="C224" s="3281" t="s">
        <v>3279</v>
      </c>
      <c r="G224" s="3281" t="s">
        <v>3629</v>
      </c>
      <c r="J224" s="3284"/>
      <c r="K224" s="3284"/>
      <c r="L224" s="3284"/>
      <c r="M224" s="3288" t="s">
        <v>3650</v>
      </c>
    </row>
    <row r="225" spans="1:13" hidden="1">
      <c r="C225" s="3281" t="s">
        <v>3630</v>
      </c>
      <c r="D225" s="3281" t="s">
        <v>3631</v>
      </c>
      <c r="E225" s="3281" t="s">
        <v>3632</v>
      </c>
      <c r="G225" s="3281">
        <v>0.45174799999999998</v>
      </c>
      <c r="J225" s="3284"/>
      <c r="K225" s="3284"/>
      <c r="L225" s="3284"/>
      <c r="M225" s="3288" t="s">
        <v>3650</v>
      </c>
    </row>
    <row r="226" spans="1:13" hidden="1">
      <c r="G226" s="3281" t="s">
        <v>3280</v>
      </c>
      <c r="J226" s="3284"/>
      <c r="K226" s="3284"/>
      <c r="L226" s="3284"/>
      <c r="M226" s="3288" t="s">
        <v>3650</v>
      </c>
    </row>
    <row r="227" spans="1:13" hidden="1">
      <c r="A227" s="3281" t="s">
        <v>3557</v>
      </c>
      <c r="B227" s="3283">
        <v>441.91</v>
      </c>
      <c r="C227" s="3281" t="s">
        <v>3540</v>
      </c>
      <c r="E227" s="3281" t="s">
        <v>3541</v>
      </c>
      <c r="J227" s="3284"/>
      <c r="K227" s="3284"/>
      <c r="L227" s="3284"/>
      <c r="M227" s="3288" t="s">
        <v>3650</v>
      </c>
    </row>
    <row r="228" spans="1:13" hidden="1">
      <c r="A228" s="3281" t="s">
        <v>3558</v>
      </c>
      <c r="B228" s="3283">
        <v>557.02</v>
      </c>
      <c r="C228" s="3281" t="s">
        <v>3543</v>
      </c>
      <c r="E228" s="3281" t="s">
        <v>3544</v>
      </c>
      <c r="J228" s="3284"/>
      <c r="K228" s="3284"/>
      <c r="L228" s="3284"/>
      <c r="M228" s="3288" t="s">
        <v>3650</v>
      </c>
    </row>
    <row r="229" spans="1:13" hidden="1">
      <c r="A229" s="3281" t="s">
        <v>3559</v>
      </c>
      <c r="B229" s="3283">
        <v>488.46</v>
      </c>
      <c r="C229" s="3281" t="s">
        <v>3546</v>
      </c>
      <c r="E229" s="3281" t="s">
        <v>3547</v>
      </c>
      <c r="J229" s="3284"/>
      <c r="K229" s="3284"/>
      <c r="L229" s="3284"/>
      <c r="M229" s="3288" t="s">
        <v>3650</v>
      </c>
    </row>
    <row r="230" spans="1:13" hidden="1">
      <c r="A230" s="3281" t="s">
        <v>3560</v>
      </c>
      <c r="B230" s="3283">
        <v>437.61</v>
      </c>
      <c r="C230" s="3281" t="s">
        <v>3549</v>
      </c>
      <c r="E230" s="3281" t="s">
        <v>3550</v>
      </c>
      <c r="J230" s="3284"/>
      <c r="K230" s="3284"/>
      <c r="L230" s="3284"/>
      <c r="M230" s="3288" t="s">
        <v>3650</v>
      </c>
    </row>
    <row r="231" spans="1:13" hidden="1">
      <c r="A231" s="3281" t="s">
        <v>3561</v>
      </c>
      <c r="J231" s="3284"/>
      <c r="K231" s="3284"/>
      <c r="L231" s="3284"/>
      <c r="M231" s="3288" t="s">
        <v>3650</v>
      </c>
    </row>
    <row r="232" spans="1:13" hidden="1">
      <c r="A232" s="3281" t="s">
        <v>3562</v>
      </c>
      <c r="B232" s="3283">
        <v>441.91</v>
      </c>
      <c r="C232" s="3281" t="s">
        <v>3540</v>
      </c>
      <c r="E232" s="3281" t="s">
        <v>3541</v>
      </c>
      <c r="J232" s="3284"/>
      <c r="K232" s="3284"/>
      <c r="L232" s="3284"/>
      <c r="M232" s="3288" t="s">
        <v>3650</v>
      </c>
    </row>
    <row r="233" spans="1:13" hidden="1">
      <c r="A233" s="3281" t="s">
        <v>3563</v>
      </c>
      <c r="B233" s="3283">
        <v>557.02</v>
      </c>
      <c r="C233" s="3281" t="s">
        <v>3543</v>
      </c>
      <c r="E233" s="3281" t="s">
        <v>3544</v>
      </c>
      <c r="J233" s="3284"/>
      <c r="K233" s="3284"/>
      <c r="L233" s="3284"/>
      <c r="M233" s="3288" t="s">
        <v>3650</v>
      </c>
    </row>
    <row r="234" spans="1:13" hidden="1">
      <c r="A234" s="3281" t="s">
        <v>3564</v>
      </c>
      <c r="B234" s="3283">
        <v>488.46</v>
      </c>
      <c r="C234" s="3281" t="s">
        <v>3546</v>
      </c>
      <c r="E234" s="3281" t="s">
        <v>3547</v>
      </c>
      <c r="J234" s="3284"/>
      <c r="K234" s="3284"/>
      <c r="L234" s="3284"/>
      <c r="M234" s="3288" t="s">
        <v>3650</v>
      </c>
    </row>
    <row r="235" spans="1:13" hidden="1">
      <c r="A235" s="3281" t="s">
        <v>3565</v>
      </c>
      <c r="B235" s="3283">
        <v>437.61</v>
      </c>
      <c r="C235" s="3281" t="s">
        <v>3549</v>
      </c>
      <c r="E235" s="3281" t="s">
        <v>3550</v>
      </c>
      <c r="J235" s="3284"/>
      <c r="K235" s="3284"/>
      <c r="L235" s="3284"/>
      <c r="M235" s="3288" t="s">
        <v>3650</v>
      </c>
    </row>
    <row r="236" spans="1:13" hidden="1">
      <c r="A236" s="3281" t="s">
        <v>3566</v>
      </c>
      <c r="J236" s="3284"/>
      <c r="K236" s="3284"/>
      <c r="L236" s="3284"/>
      <c r="M236" s="3288" t="s">
        <v>3650</v>
      </c>
    </row>
    <row r="237" spans="1:13" hidden="1">
      <c r="A237" s="3281" t="s">
        <v>3567</v>
      </c>
      <c r="B237" s="3283">
        <v>441.91</v>
      </c>
      <c r="C237" s="3281" t="s">
        <v>3540</v>
      </c>
      <c r="E237" s="3281" t="s">
        <v>3541</v>
      </c>
      <c r="J237" s="3284"/>
      <c r="K237" s="3284"/>
      <c r="L237" s="3284"/>
      <c r="M237" s="3288" t="s">
        <v>3650</v>
      </c>
    </row>
    <row r="238" spans="1:13" hidden="1">
      <c r="A238" s="3281" t="s">
        <v>3568</v>
      </c>
      <c r="B238" s="3283">
        <v>557.02</v>
      </c>
      <c r="C238" s="3281" t="s">
        <v>3543</v>
      </c>
      <c r="E238" s="3281" t="s">
        <v>3544</v>
      </c>
      <c r="J238" s="3284"/>
      <c r="K238" s="3284"/>
      <c r="L238" s="3284"/>
      <c r="M238" s="3288" t="s">
        <v>3650</v>
      </c>
    </row>
    <row r="239" spans="1:13" hidden="1">
      <c r="A239" s="3281" t="s">
        <v>3569</v>
      </c>
      <c r="B239" s="3283">
        <v>488.46</v>
      </c>
      <c r="C239" s="3281" t="s">
        <v>3546</v>
      </c>
      <c r="E239" s="3281" t="s">
        <v>3547</v>
      </c>
      <c r="J239" s="3284"/>
      <c r="K239" s="3284"/>
      <c r="L239" s="3284"/>
      <c r="M239" s="3288" t="s">
        <v>3650</v>
      </c>
    </row>
    <row r="240" spans="1:13" hidden="1">
      <c r="A240" s="3281" t="s">
        <v>3570</v>
      </c>
      <c r="B240" s="3283">
        <v>437.61</v>
      </c>
      <c r="C240" s="3281" t="s">
        <v>3549</v>
      </c>
      <c r="E240" s="3281" t="s">
        <v>3550</v>
      </c>
      <c r="J240" s="3284"/>
      <c r="K240" s="3284"/>
      <c r="L240" s="3284"/>
      <c r="M240" s="3288" t="s">
        <v>3650</v>
      </c>
    </row>
    <row r="241" spans="1:13" hidden="1">
      <c r="A241" s="3281" t="s">
        <v>3571</v>
      </c>
      <c r="J241" s="3284"/>
      <c r="K241" s="3284"/>
      <c r="L241" s="3284"/>
      <c r="M241" s="3288" t="s">
        <v>3650</v>
      </c>
    </row>
    <row r="242" spans="1:13" hidden="1">
      <c r="A242" s="3281" t="s">
        <v>3572</v>
      </c>
      <c r="B242" s="3283">
        <v>441.91</v>
      </c>
      <c r="C242" s="3281" t="s">
        <v>3540</v>
      </c>
      <c r="E242" s="3281" t="s">
        <v>3541</v>
      </c>
      <c r="J242" s="3284"/>
      <c r="K242" s="3284"/>
      <c r="L242" s="3284"/>
      <c r="M242" s="3288" t="s">
        <v>3650</v>
      </c>
    </row>
    <row r="243" spans="1:13" hidden="1">
      <c r="A243" s="3281" t="s">
        <v>3573</v>
      </c>
      <c r="B243" s="3283">
        <v>557.02</v>
      </c>
      <c r="C243" s="3281" t="s">
        <v>3543</v>
      </c>
      <c r="E243" s="3281" t="s">
        <v>3544</v>
      </c>
      <c r="J243" s="3284"/>
      <c r="K243" s="3284"/>
      <c r="L243" s="3284"/>
      <c r="M243" s="3288" t="s">
        <v>3650</v>
      </c>
    </row>
    <row r="244" spans="1:13" hidden="1">
      <c r="A244" s="3281" t="s">
        <v>3574</v>
      </c>
      <c r="B244" s="3283">
        <v>488.46</v>
      </c>
      <c r="C244" s="3281" t="s">
        <v>3546</v>
      </c>
      <c r="E244" s="3281" t="s">
        <v>3547</v>
      </c>
      <c r="J244" s="3284"/>
      <c r="K244" s="3284"/>
      <c r="L244" s="3284"/>
      <c r="M244" s="3288" t="s">
        <v>3650</v>
      </c>
    </row>
    <row r="245" spans="1:13" hidden="1">
      <c r="A245" s="3281" t="s">
        <v>3575</v>
      </c>
      <c r="B245" s="3283">
        <v>437.61</v>
      </c>
      <c r="C245" s="3281" t="s">
        <v>3549</v>
      </c>
      <c r="E245" s="3281" t="s">
        <v>3550</v>
      </c>
      <c r="J245" s="3284"/>
      <c r="K245" s="3284"/>
      <c r="L245" s="3284"/>
      <c r="M245" s="3288" t="s">
        <v>3650</v>
      </c>
    </row>
    <row r="246" spans="1:13" hidden="1">
      <c r="A246" s="3281" t="s">
        <v>3576</v>
      </c>
      <c r="J246" s="3284"/>
      <c r="K246" s="3284"/>
      <c r="L246" s="3284"/>
      <c r="M246" s="3288" t="s">
        <v>3650</v>
      </c>
    </row>
    <row r="247" spans="1:13" hidden="1">
      <c r="A247" s="3281" t="s">
        <v>3577</v>
      </c>
      <c r="B247" s="3283">
        <v>913.98</v>
      </c>
      <c r="C247" s="3281" t="s">
        <v>3578</v>
      </c>
      <c r="E247" s="3281" t="s">
        <v>3579</v>
      </c>
      <c r="J247" s="3284"/>
      <c r="K247" s="3284"/>
      <c r="L247" s="3284"/>
      <c r="M247" s="3288" t="s">
        <v>3650</v>
      </c>
    </row>
    <row r="248" spans="1:13" hidden="1">
      <c r="A248" s="3281" t="s">
        <v>3580</v>
      </c>
      <c r="B248" s="3283">
        <v>1163.05</v>
      </c>
      <c r="C248" s="3281" t="s">
        <v>3581</v>
      </c>
      <c r="E248" s="3281" t="s">
        <v>3582</v>
      </c>
      <c r="J248" s="3284"/>
      <c r="K248" s="3284"/>
      <c r="L248" s="3284"/>
      <c r="M248" s="3288" t="s">
        <v>3650</v>
      </c>
    </row>
    <row r="249" spans="1:13" hidden="1">
      <c r="A249" s="3281" t="s">
        <v>3583</v>
      </c>
      <c r="J249" s="3284"/>
      <c r="K249" s="3284"/>
      <c r="L249" s="3284"/>
      <c r="M249" s="3288" t="s">
        <v>3650</v>
      </c>
    </row>
    <row r="250" spans="1:13" hidden="1">
      <c r="A250" s="3281" t="s">
        <v>3584</v>
      </c>
      <c r="B250" s="3283">
        <v>913.98</v>
      </c>
      <c r="C250" s="3281" t="s">
        <v>3578</v>
      </c>
      <c r="E250" s="3281" t="s">
        <v>3579</v>
      </c>
      <c r="J250" s="3284"/>
      <c r="K250" s="3284"/>
      <c r="L250" s="3284"/>
      <c r="M250" s="3288" t="s">
        <v>3650</v>
      </c>
    </row>
    <row r="251" spans="1:13" hidden="1">
      <c r="A251" s="3281" t="s">
        <v>3585</v>
      </c>
      <c r="B251" s="3283">
        <v>1163.05</v>
      </c>
      <c r="C251" s="3281" t="s">
        <v>3581</v>
      </c>
      <c r="E251" s="3281" t="s">
        <v>3582</v>
      </c>
      <c r="J251" s="3284"/>
      <c r="K251" s="3284"/>
      <c r="L251" s="3284"/>
      <c r="M251" s="3288" t="s">
        <v>3650</v>
      </c>
    </row>
    <row r="252" spans="1:13" hidden="1">
      <c r="A252" s="3281" t="s">
        <v>3586</v>
      </c>
      <c r="J252" s="3284"/>
      <c r="K252" s="3284"/>
      <c r="L252" s="3284"/>
      <c r="M252" s="3288" t="s">
        <v>3650</v>
      </c>
    </row>
    <row r="253" spans="1:13" hidden="1">
      <c r="A253" s="3281" t="s">
        <v>3587</v>
      </c>
      <c r="B253" s="3283">
        <v>917.07</v>
      </c>
      <c r="C253" s="3281" t="s">
        <v>3588</v>
      </c>
      <c r="E253" s="3281" t="s">
        <v>3589</v>
      </c>
      <c r="J253" s="3284"/>
      <c r="K253" s="3284"/>
      <c r="L253" s="3284"/>
      <c r="M253" s="3288" t="s">
        <v>3650</v>
      </c>
    </row>
    <row r="254" spans="1:13" hidden="1">
      <c r="A254" s="3281" t="s">
        <v>3590</v>
      </c>
      <c r="B254" s="3283">
        <v>1165.96</v>
      </c>
      <c r="C254" s="3281" t="s">
        <v>3591</v>
      </c>
      <c r="E254" s="3281" t="s">
        <v>3592</v>
      </c>
      <c r="J254" s="3284"/>
      <c r="K254" s="3284"/>
      <c r="L254" s="3284"/>
      <c r="M254" s="3288" t="s">
        <v>3650</v>
      </c>
    </row>
    <row r="255" spans="1:13" hidden="1">
      <c r="A255" s="3281" t="s">
        <v>3593</v>
      </c>
      <c r="J255" s="3284"/>
      <c r="K255" s="3284"/>
      <c r="L255" s="3284"/>
      <c r="M255" s="3288" t="s">
        <v>3650</v>
      </c>
    </row>
    <row r="256" spans="1:13" hidden="1">
      <c r="A256" s="3281" t="s">
        <v>3594</v>
      </c>
      <c r="B256" s="3283">
        <v>917.07</v>
      </c>
      <c r="C256" s="3281" t="s">
        <v>3588</v>
      </c>
      <c r="E256" s="3281" t="s">
        <v>3589</v>
      </c>
      <c r="J256" s="3284"/>
      <c r="K256" s="3284"/>
      <c r="L256" s="3284"/>
      <c r="M256" s="3288" t="s">
        <v>3650</v>
      </c>
    </row>
    <row r="257" spans="1:13" hidden="1">
      <c r="A257" s="3281" t="s">
        <v>3633</v>
      </c>
      <c r="B257" s="3281">
        <v>14854.16</v>
      </c>
      <c r="C257" s="3281">
        <v>10231.92</v>
      </c>
      <c r="E257" s="3281">
        <v>4622.24</v>
      </c>
      <c r="J257" s="3284"/>
      <c r="K257" s="3284"/>
      <c r="L257" s="3284"/>
      <c r="M257" s="3288" t="s">
        <v>3650</v>
      </c>
    </row>
    <row r="258" spans="1:13" hidden="1">
      <c r="A258" s="3281" t="s">
        <v>3634</v>
      </c>
      <c r="J258" s="3284"/>
      <c r="K258" s="3284"/>
      <c r="L258" s="3284"/>
      <c r="M258" s="3288" t="s">
        <v>3650</v>
      </c>
    </row>
    <row r="259" spans="1:13" hidden="1">
      <c r="A259" s="3281" t="s">
        <v>3626</v>
      </c>
      <c r="J259" s="3284"/>
      <c r="K259" s="3284"/>
      <c r="L259" s="3284"/>
      <c r="M259" s="3288" t="s">
        <v>3650</v>
      </c>
    </row>
    <row r="260" spans="1:13" hidden="1">
      <c r="A260" s="3281" t="s">
        <v>3627</v>
      </c>
      <c r="J260" s="3284"/>
      <c r="K260" s="3284"/>
      <c r="L260" s="3284"/>
      <c r="M260" s="3288" t="s">
        <v>3650</v>
      </c>
    </row>
    <row r="261" spans="1:13" hidden="1">
      <c r="A261" s="3281" t="s">
        <v>3278</v>
      </c>
      <c r="B261" s="3281" t="s">
        <v>3628</v>
      </c>
      <c r="C261" s="3281" t="s">
        <v>3279</v>
      </c>
      <c r="G261" s="3281" t="s">
        <v>3629</v>
      </c>
      <c r="J261" s="3284"/>
      <c r="K261" s="3284"/>
      <c r="L261" s="3284"/>
      <c r="M261" s="3288" t="s">
        <v>3650</v>
      </c>
    </row>
    <row r="262" spans="1:13" hidden="1">
      <c r="C262" s="3281" t="s">
        <v>3630</v>
      </c>
      <c r="D262" s="3281" t="s">
        <v>3631</v>
      </c>
      <c r="E262" s="3281" t="s">
        <v>3632</v>
      </c>
      <c r="G262" s="3281">
        <v>0.45174799999999998</v>
      </c>
      <c r="J262" s="3284"/>
      <c r="K262" s="3284"/>
      <c r="L262" s="3284"/>
      <c r="M262" s="3288" t="s">
        <v>3650</v>
      </c>
    </row>
    <row r="263" spans="1:13" hidden="1">
      <c r="G263" s="3281" t="s">
        <v>3280</v>
      </c>
      <c r="J263" s="3284"/>
      <c r="K263" s="3284"/>
      <c r="L263" s="3284"/>
      <c r="M263" s="3288" t="s">
        <v>3650</v>
      </c>
    </row>
    <row r="264" spans="1:13" hidden="1">
      <c r="A264" s="3281" t="s">
        <v>3595</v>
      </c>
      <c r="B264" s="3283">
        <v>1165.96</v>
      </c>
      <c r="C264" s="3281" t="s">
        <v>3591</v>
      </c>
      <c r="E264" s="3281" t="s">
        <v>3592</v>
      </c>
      <c r="J264" s="3284"/>
      <c r="K264" s="3284"/>
      <c r="L264" s="3284"/>
      <c r="M264" s="3288" t="s">
        <v>3650</v>
      </c>
    </row>
    <row r="265" spans="1:13">
      <c r="A265" s="3281" t="s">
        <v>3596</v>
      </c>
      <c r="J265" s="3284" t="str">
        <f>A277</f>
        <v>32层(32)</v>
      </c>
      <c r="K265" s="3284"/>
      <c r="L265" s="3284">
        <f>B278+B279</f>
        <v>2088.08</v>
      </c>
      <c r="M265" s="3288" t="s">
        <v>3650</v>
      </c>
    </row>
    <row r="266" spans="1:13">
      <c r="A266" s="3281" t="s">
        <v>3597</v>
      </c>
      <c r="B266" s="3283">
        <v>917.07</v>
      </c>
      <c r="C266" s="3281" t="s">
        <v>3588</v>
      </c>
      <c r="E266" s="3281" t="s">
        <v>3589</v>
      </c>
      <c r="J266" s="3284" t="str">
        <f>A280</f>
        <v>33层(33)</v>
      </c>
      <c r="K266" s="3284"/>
      <c r="L266" s="3284">
        <f>B281+B282</f>
        <v>2088.08</v>
      </c>
      <c r="M266" s="3288" t="s">
        <v>3650</v>
      </c>
    </row>
    <row r="267" spans="1:13">
      <c r="A267" s="3281" t="s">
        <v>3598</v>
      </c>
      <c r="B267" s="3283">
        <v>1165.96</v>
      </c>
      <c r="C267" s="3281" t="s">
        <v>3591</v>
      </c>
      <c r="E267" s="3281" t="s">
        <v>3592</v>
      </c>
      <c r="J267" s="3284" t="str">
        <f>A283</f>
        <v>34层(34)</v>
      </c>
      <c r="K267" s="3284"/>
      <c r="L267" s="3284">
        <f>B284</f>
        <v>375.02</v>
      </c>
      <c r="M267" s="3289" t="s">
        <v>3648</v>
      </c>
    </row>
    <row r="268" spans="1:13">
      <c r="A268" s="3281" t="s">
        <v>3599</v>
      </c>
      <c r="J268" s="3284" t="str">
        <f>A285</f>
        <v>35层(35)</v>
      </c>
      <c r="K268" s="3284"/>
      <c r="L268" s="3284">
        <f>B286</f>
        <v>3484.15</v>
      </c>
      <c r="M268" s="3289" t="s">
        <v>3648</v>
      </c>
    </row>
    <row r="269" spans="1:13">
      <c r="A269" s="3281" t="s">
        <v>3600</v>
      </c>
      <c r="B269" s="3283">
        <v>919.84</v>
      </c>
      <c r="C269" s="3281" t="s">
        <v>3601</v>
      </c>
      <c r="E269" s="3281" t="s">
        <v>3602</v>
      </c>
      <c r="J269" s="3285" t="s">
        <v>3651</v>
      </c>
      <c r="K269" s="3284"/>
      <c r="L269" s="3284">
        <f>SUM(L3:L268)</f>
        <v>70117.27</v>
      </c>
      <c r="M269" s="3284"/>
    </row>
    <row r="270" spans="1:13">
      <c r="A270" s="3281" t="s">
        <v>3603</v>
      </c>
      <c r="B270" s="3283">
        <v>1168.24</v>
      </c>
      <c r="C270" s="3281" t="s">
        <v>3604</v>
      </c>
      <c r="E270" s="3281" t="s">
        <v>3605</v>
      </c>
    </row>
    <row r="271" spans="1:13">
      <c r="A271" s="3281" t="s">
        <v>3606</v>
      </c>
      <c r="J271" s="4056" t="s">
        <v>3652</v>
      </c>
      <c r="K271" s="4056"/>
      <c r="L271" s="4056"/>
      <c r="M271" s="4056"/>
    </row>
    <row r="272" spans="1:13">
      <c r="A272" s="3281" t="s">
        <v>3607</v>
      </c>
      <c r="B272" s="3283">
        <v>919.84</v>
      </c>
      <c r="C272" s="3281" t="s">
        <v>3601</v>
      </c>
      <c r="E272" s="3281" t="s">
        <v>3602</v>
      </c>
      <c r="J272" s="3285" t="s">
        <v>3653</v>
      </c>
      <c r="K272" s="3284"/>
      <c r="L272" s="3284">
        <f>L6</f>
        <v>1120.93</v>
      </c>
      <c r="M272" s="3284"/>
    </row>
    <row r="273" spans="1:13">
      <c r="A273" s="3281" t="s">
        <v>3608</v>
      </c>
      <c r="B273" s="3283">
        <v>1168.24</v>
      </c>
      <c r="C273" s="3281" t="s">
        <v>3604</v>
      </c>
      <c r="E273" s="3281" t="s">
        <v>3605</v>
      </c>
      <c r="J273" s="3285" t="s">
        <v>3655</v>
      </c>
      <c r="K273" s="3284"/>
      <c r="L273" s="3284">
        <f>L5++L267+L268</f>
        <v>7816.32</v>
      </c>
      <c r="M273" s="3284"/>
    </row>
    <row r="274" spans="1:13">
      <c r="A274" s="3281" t="s">
        <v>3609</v>
      </c>
      <c r="J274" s="3286" t="s">
        <v>3654</v>
      </c>
      <c r="K274" s="3284"/>
      <c r="L274" s="3284">
        <f>SUM(L7:L266)</f>
        <v>58835.540000000008</v>
      </c>
      <c r="M274" s="3284"/>
    </row>
    <row r="275" spans="1:13">
      <c r="A275" s="3281" t="s">
        <v>3610</v>
      </c>
      <c r="B275" s="3283">
        <v>919.84</v>
      </c>
      <c r="C275" s="3281" t="s">
        <v>3601</v>
      </c>
      <c r="E275" s="3281" t="s">
        <v>3602</v>
      </c>
      <c r="J275" s="3286" t="s">
        <v>3656</v>
      </c>
      <c r="K275" s="3284"/>
      <c r="L275" s="3284">
        <f>L3+L4</f>
        <v>2344.4799999999996</v>
      </c>
      <c r="M275" s="3284"/>
    </row>
    <row r="276" spans="1:13">
      <c r="A276" s="3281" t="s">
        <v>3611</v>
      </c>
      <c r="B276" s="3283">
        <v>1168.24</v>
      </c>
      <c r="C276" s="3281" t="s">
        <v>3604</v>
      </c>
      <c r="E276" s="3281" t="s">
        <v>3605</v>
      </c>
      <c r="J276" s="3285" t="s">
        <v>3657</v>
      </c>
      <c r="K276" s="3281"/>
      <c r="L276" s="3284">
        <f>L275+L274+L273+L272</f>
        <v>70117.26999999999</v>
      </c>
      <c r="M276" s="3281"/>
    </row>
    <row r="277" spans="1:13">
      <c r="A277" s="3281" t="s">
        <v>3612</v>
      </c>
    </row>
    <row r="278" spans="1:13">
      <c r="A278" s="3281" t="s">
        <v>3613</v>
      </c>
      <c r="B278" s="3283">
        <v>919.84</v>
      </c>
      <c r="C278" s="3281" t="s">
        <v>3601</v>
      </c>
      <c r="E278" s="3281" t="s">
        <v>3602</v>
      </c>
    </row>
    <row r="279" spans="1:13">
      <c r="A279" s="3281" t="s">
        <v>3614</v>
      </c>
      <c r="B279" s="3283">
        <v>1168.24</v>
      </c>
      <c r="C279" s="3281" t="s">
        <v>3604</v>
      </c>
      <c r="E279" s="3281" t="s">
        <v>3605</v>
      </c>
    </row>
    <row r="280" spans="1:13">
      <c r="A280" s="3281" t="s">
        <v>3615</v>
      </c>
    </row>
    <row r="281" spans="1:13">
      <c r="A281" s="3281" t="s">
        <v>3616</v>
      </c>
      <c r="B281" s="3283">
        <v>919.84</v>
      </c>
      <c r="C281" s="3281" t="s">
        <v>3601</v>
      </c>
      <c r="E281" s="3281" t="s">
        <v>3602</v>
      </c>
    </row>
    <row r="282" spans="1:13">
      <c r="A282" s="3281" t="s">
        <v>3617</v>
      </c>
      <c r="B282" s="3283">
        <v>1168.24</v>
      </c>
      <c r="C282" s="3281" t="s">
        <v>3604</v>
      </c>
      <c r="E282" s="3281" t="s">
        <v>3605</v>
      </c>
    </row>
    <row r="283" spans="1:13">
      <c r="A283" s="3281" t="s">
        <v>3618</v>
      </c>
    </row>
    <row r="284" spans="1:13">
      <c r="A284" s="3281" t="s">
        <v>3619</v>
      </c>
      <c r="B284" s="3283">
        <v>375.02</v>
      </c>
      <c r="C284" s="3281" t="s">
        <v>3620</v>
      </c>
      <c r="E284" s="3281" t="s">
        <v>3621</v>
      </c>
    </row>
    <row r="285" spans="1:13">
      <c r="A285" s="3281" t="s">
        <v>3622</v>
      </c>
    </row>
    <row r="286" spans="1:13">
      <c r="A286" s="3281" t="s">
        <v>3623</v>
      </c>
      <c r="B286" s="3283">
        <v>3484.15</v>
      </c>
      <c r="C286" s="3281" t="s">
        <v>3624</v>
      </c>
      <c r="E286" s="3281" t="s">
        <v>3625</v>
      </c>
    </row>
    <row r="294" spans="1:5">
      <c r="A294" s="3281" t="s">
        <v>3633</v>
      </c>
      <c r="B294" s="3281">
        <v>17548.560000000001</v>
      </c>
      <c r="C294" s="3281">
        <v>12087.87</v>
      </c>
      <c r="E294" s="3281">
        <v>5460.69</v>
      </c>
    </row>
    <row r="295" spans="1:5">
      <c r="A295" s="3281" t="s">
        <v>3634</v>
      </c>
    </row>
  </sheetData>
  <mergeCells count="4">
    <mergeCell ref="J271:M271"/>
    <mergeCell ref="J1:M1"/>
    <mergeCell ref="Q1:U1"/>
    <mergeCell ref="Q7:S7"/>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
  <sheetViews>
    <sheetView workbookViewId="0">
      <selection activeCell="B92" sqref="B92"/>
    </sheetView>
  </sheetViews>
  <sheetFormatPr defaultRowHeight="13.5"/>
  <sheetData>
    <row r="1" spans="1:1">
      <c r="A1" s="3282" t="s">
        <v>3821</v>
      </c>
    </row>
    <row r="32" spans="1:1">
      <c r="A32" s="3282" t="s">
        <v>3822</v>
      </c>
    </row>
    <row r="85" spans="2:4" ht="14.25" thickBot="1"/>
    <row r="86" spans="2:4" ht="14.25" thickBot="1">
      <c r="B86" s="3652">
        <v>58835.54</v>
      </c>
      <c r="C86" s="3653">
        <v>58835.54</v>
      </c>
      <c r="D86" s="3654" t="s">
        <v>70</v>
      </c>
    </row>
    <row r="87" spans="2:4" ht="14.25" thickBot="1">
      <c r="B87" s="3655">
        <f>C87+D87</f>
        <v>8937.25</v>
      </c>
      <c r="C87" s="3656">
        <v>4980.1000000000004</v>
      </c>
      <c r="D87" s="3656">
        <v>3957.15</v>
      </c>
    </row>
    <row r="88" spans="2:4" ht="14.25" thickBot="1">
      <c r="B88" s="3655">
        <v>2344.48</v>
      </c>
      <c r="C88" s="3657" t="s">
        <v>70</v>
      </c>
      <c r="D88" s="3656">
        <v>2344.48</v>
      </c>
    </row>
    <row r="89" spans="2:4" ht="14.25" thickBot="1">
      <c r="B89" s="3655">
        <f>B88+B87+B86</f>
        <v>70117.27</v>
      </c>
      <c r="C89" s="3656">
        <f>C87+C86</f>
        <v>63815.64</v>
      </c>
      <c r="D89" s="3656">
        <f>D88+D87</f>
        <v>6301.63</v>
      </c>
    </row>
    <row r="90" spans="2:4" ht="14.25" thickBot="1">
      <c r="B90" s="3655">
        <v>9729.7900000000009</v>
      </c>
      <c r="C90" s="3656">
        <v>7051.14</v>
      </c>
      <c r="D90" s="3656">
        <v>2678.65</v>
      </c>
    </row>
    <row r="91" spans="2:4">
      <c r="B91">
        <f>(58835.54*25%+8937.25*25%+2344.48*10%)/70117.29</f>
        <v>0.2449844467748255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686" t="s">
        <v>1664</v>
      </c>
      <c r="B1" s="3686"/>
      <c r="C1" s="3686"/>
      <c r="D1" s="3686"/>
    </row>
    <row r="2" spans="1:4" ht="18">
      <c r="A2" s="3687" t="s">
        <v>1648</v>
      </c>
      <c r="B2" s="3687"/>
      <c r="C2" s="3687"/>
      <c r="D2" s="3687"/>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687" t="s">
        <v>1654</v>
      </c>
      <c r="B6" s="3687"/>
      <c r="C6" s="3687"/>
      <c r="D6" s="3687"/>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688" t="s">
        <v>1657</v>
      </c>
      <c r="B11" s="3680"/>
      <c r="C11" s="3680"/>
      <c r="D11" s="3680"/>
    </row>
    <row r="12" spans="1:4" ht="15.75">
      <c r="A12" s="36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5"/>
      <c r="C12" s="3685"/>
      <c r="D12" s="3685"/>
    </row>
    <row r="13" spans="1:4" ht="30" customHeight="1">
      <c r="A13" s="36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5"/>
      <c r="C13" s="3685"/>
      <c r="D13" s="3685"/>
    </row>
    <row r="14" spans="1:4" ht="15.75" customHeight="1">
      <c r="A14" s="3680" t="str">
        <f>IF(项目基本情况!B8="抵押","4.本次评估估价师所知悉的法定优先受偿款情况说明如下：","——")</f>
        <v>4.本次评估估价师所知悉的法定优先受偿款情况说明如下：</v>
      </c>
      <c r="B14" s="3685"/>
      <c r="C14" s="3685"/>
      <c r="D14" s="3685"/>
    </row>
    <row r="15" spans="1:4" ht="42" customHeight="1">
      <c r="A15" s="368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680"/>
      <c r="C15" s="3680"/>
      <c r="D15" s="3680"/>
    </row>
    <row r="16" spans="1:4" ht="30" customHeight="1">
      <c r="A16" s="3682" t="s">
        <v>1658</v>
      </c>
      <c r="B16" s="3682"/>
      <c r="C16" s="3682"/>
      <c r="D16" s="3682"/>
    </row>
    <row r="17" spans="1:4" ht="144" customHeight="1">
      <c r="A17" s="3682" t="s">
        <v>1659</v>
      </c>
      <c r="B17" s="3682"/>
      <c r="C17" s="3682"/>
      <c r="D17" s="3682"/>
    </row>
    <row r="18" spans="1:4" ht="15.75" customHeight="1">
      <c r="A18" s="3680" t="str">
        <f>IF(项目基本情况!B8="抵押",结果表!K120,"——")</f>
        <v>故，本次评估不存在估价师知悉的法定优先受偿款</v>
      </c>
      <c r="B18" s="3680"/>
      <c r="C18" s="3680"/>
      <c r="D18" s="3680"/>
    </row>
    <row r="19" spans="1:4" ht="46.5" customHeight="1">
      <c r="A19" s="36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0"/>
      <c r="C19" s="3680"/>
      <c r="D19" s="3680"/>
    </row>
    <row r="20" spans="1:4" ht="57.75" customHeight="1">
      <c r="A20" s="36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0"/>
      <c r="C20" s="3680"/>
      <c r="D20" s="3680"/>
    </row>
    <row r="21" spans="1:4" ht="57.75" customHeight="1">
      <c r="A21" s="36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3"/>
      <c r="C21" s="3683"/>
      <c r="D21" s="3683"/>
    </row>
    <row r="22" spans="1:4" ht="18.75" customHeight="1">
      <c r="A22" s="3684" t="s">
        <v>1660</v>
      </c>
      <c r="B22" s="3684"/>
      <c r="C22" s="3684"/>
      <c r="D22" s="3684"/>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681">
        <v>42551</v>
      </c>
      <c r="D31" s="36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694" t="s">
        <v>1671</v>
      </c>
      <c r="B15" s="3689" t="s">
        <v>136</v>
      </c>
      <c r="C15" s="3690"/>
    </row>
    <row r="16" spans="1:7" ht="13.5">
      <c r="A16" s="3695"/>
      <c r="B16" s="3689" t="s">
        <v>69</v>
      </c>
      <c r="C16" s="3690"/>
    </row>
    <row r="17" spans="1:3" ht="13.5">
      <c r="A17" s="3695"/>
      <c r="B17" s="3692" t="s">
        <v>1672</v>
      </c>
      <c r="C17" s="2000" t="s">
        <v>1671</v>
      </c>
    </row>
    <row r="18" spans="1:3" ht="13.5">
      <c r="A18" s="3695"/>
      <c r="B18" s="3692"/>
      <c r="C18" s="2000" t="s">
        <v>1673</v>
      </c>
    </row>
    <row r="19" spans="1:3" ht="13.5">
      <c r="A19" s="3695"/>
      <c r="B19" s="3692"/>
      <c r="C19" s="2000" t="s">
        <v>1674</v>
      </c>
    </row>
    <row r="20" spans="1:3" ht="13.5">
      <c r="A20" s="3696"/>
      <c r="B20" s="3691" t="s">
        <v>1675</v>
      </c>
      <c r="C20" s="3690"/>
    </row>
    <row r="21" spans="1:3" ht="13.5">
      <c r="A21" s="2001" t="s">
        <v>1676</v>
      </c>
      <c r="B21" s="2002"/>
      <c r="C21" s="2003"/>
    </row>
    <row r="22" spans="1:3" ht="13.5">
      <c r="A22" s="3693" t="s">
        <v>1677</v>
      </c>
      <c r="B22" s="3691" t="s">
        <v>1678</v>
      </c>
      <c r="C22" s="3690"/>
    </row>
    <row r="23" spans="1:3" ht="13.5">
      <c r="A23" s="3693"/>
      <c r="B23" s="3691" t="s">
        <v>1679</v>
      </c>
      <c r="C23" s="3690"/>
    </row>
    <row r="24" spans="1:3" ht="13.5">
      <c r="A24" s="3693"/>
      <c r="B24" s="3691" t="s">
        <v>1680</v>
      </c>
      <c r="C24" s="3690"/>
    </row>
    <row r="25" spans="1:3" ht="13.5">
      <c r="A25" s="3693"/>
      <c r="B25" s="3692" t="s">
        <v>1681</v>
      </c>
      <c r="C25" s="2000" t="s">
        <v>1682</v>
      </c>
    </row>
    <row r="26" spans="1:3" ht="13.5">
      <c r="A26" s="3693"/>
      <c r="B26" s="3692"/>
      <c r="C26" s="2000" t="s">
        <v>1683</v>
      </c>
    </row>
    <row r="27" spans="1:3" ht="13.5">
      <c r="A27" s="3693"/>
      <c r="B27" s="3692"/>
      <c r="C27" s="2000" t="s">
        <v>1684</v>
      </c>
    </row>
    <row r="28" spans="1:3" ht="13.5">
      <c r="A28" s="3693"/>
      <c r="B28" s="3692"/>
      <c r="C28" s="2000" t="s">
        <v>1685</v>
      </c>
    </row>
    <row r="29" spans="1:3" ht="13.5">
      <c r="A29" s="3693"/>
      <c r="B29" s="3692"/>
      <c r="C29" s="2000" t="s">
        <v>1686</v>
      </c>
    </row>
    <row r="30" spans="1:3" ht="13.5">
      <c r="A30" s="3693"/>
      <c r="B30" s="3692"/>
      <c r="C30" s="2000" t="s">
        <v>1687</v>
      </c>
    </row>
    <row r="31" spans="1:3" ht="13.5">
      <c r="A31" s="3693"/>
      <c r="B31" s="3692"/>
      <c r="C31" s="2000" t="s">
        <v>1688</v>
      </c>
    </row>
    <row r="32" spans="1:3" ht="13.5">
      <c r="A32" s="3693"/>
      <c r="B32" s="3692"/>
      <c r="C32" s="2000" t="s">
        <v>1689</v>
      </c>
    </row>
    <row r="33" spans="1:3" ht="13.5">
      <c r="A33" s="3693"/>
      <c r="B33" s="3692"/>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43112</v>
      </c>
      <c r="C2" s="1018" t="s">
        <v>826</v>
      </c>
      <c r="D2" s="1018"/>
    </row>
    <row r="3" spans="1:6" ht="24" customHeight="1">
      <c r="A3" s="1019" t="s">
        <v>827</v>
      </c>
      <c r="B3" s="1020" t="s">
        <v>828</v>
      </c>
      <c r="C3" s="2344" t="s">
        <v>829</v>
      </c>
      <c r="D3" s="2347" t="s">
        <v>830</v>
      </c>
      <c r="E3" s="1021" t="s">
        <v>831</v>
      </c>
      <c r="F3" s="1020" t="s">
        <v>829</v>
      </c>
    </row>
    <row r="4" spans="1:6" ht="24" customHeight="1">
      <c r="A4" s="1702" t="s">
        <v>832</v>
      </c>
      <c r="B4" s="1021">
        <f ca="1">IF(C4&lt;B2,"已过期",1119970066)</f>
        <v>1119970066</v>
      </c>
      <c r="C4" s="2345">
        <v>43849</v>
      </c>
      <c r="D4" s="2348" t="s">
        <v>832</v>
      </c>
      <c r="E4" s="1021">
        <f ca="1">IF(F4&lt;B2,"已过期",96010014)</f>
        <v>96010014</v>
      </c>
      <c r="F4" s="1029">
        <v>47118</v>
      </c>
    </row>
    <row r="5" spans="1:6" ht="24" customHeight="1">
      <c r="A5" s="1702" t="s">
        <v>833</v>
      </c>
      <c r="B5" s="1021">
        <f ca="1">IF(C5&lt;B2,"已过期",1119970074)</f>
        <v>1119970074</v>
      </c>
      <c r="C5" s="2345">
        <v>43849</v>
      </c>
      <c r="D5" s="2348" t="s">
        <v>833</v>
      </c>
      <c r="E5" s="1021">
        <f ca="1">IF(F5&lt;B2,"已过期",2002110027)</f>
        <v>2002110027</v>
      </c>
      <c r="F5" s="1029">
        <v>46752</v>
      </c>
    </row>
    <row r="6" spans="1:6" ht="24" customHeight="1">
      <c r="A6" s="1702" t="s">
        <v>834</v>
      </c>
      <c r="B6" s="1021">
        <f ca="1">IF(C6&lt;B2,"已过期",1119970111)</f>
        <v>1119970111</v>
      </c>
      <c r="C6" s="2345">
        <v>43849</v>
      </c>
      <c r="D6" s="2348" t="s">
        <v>834</v>
      </c>
      <c r="E6" s="1021">
        <f ca="1">IF(F6&lt;B2,"已过期",94010078)</f>
        <v>94010078</v>
      </c>
      <c r="F6" s="1029">
        <v>46387</v>
      </c>
    </row>
    <row r="7" spans="1:6" ht="24" customHeight="1">
      <c r="A7" s="1702" t="s">
        <v>835</v>
      </c>
      <c r="B7" s="1021">
        <f ca="1">IF(C7&lt;B2,"已过期",1120050019)</f>
        <v>1120050019</v>
      </c>
      <c r="C7" s="2345">
        <v>43359</v>
      </c>
      <c r="D7" s="2348" t="s">
        <v>835</v>
      </c>
      <c r="E7" s="1021">
        <f ca="1">IF(F7&lt;B2,"已过期",2002110030)</f>
        <v>2002110030</v>
      </c>
      <c r="F7" s="1029">
        <v>46387</v>
      </c>
    </row>
    <row r="8" spans="1:6" ht="24" customHeight="1">
      <c r="A8" s="1702" t="s">
        <v>836</v>
      </c>
      <c r="B8" s="1021">
        <f ca="1">IF(C8&lt;B2,"已过期",1120000080)</f>
        <v>1120000080</v>
      </c>
      <c r="C8" s="2345">
        <v>43849</v>
      </c>
      <c r="D8" s="2348" t="s">
        <v>836</v>
      </c>
      <c r="E8" s="1021">
        <f ca="1">IF(F8&lt;B2,"已过期",2000110082)</f>
        <v>2000110082</v>
      </c>
      <c r="F8" s="1029">
        <v>46387</v>
      </c>
    </row>
    <row r="9" spans="1:6" ht="24" customHeight="1">
      <c r="A9" s="1702" t="s">
        <v>837</v>
      </c>
      <c r="B9" s="1021">
        <f ca="1">IF(C9&lt;B2,"已过期",1419970001)</f>
        <v>1419970001</v>
      </c>
      <c r="C9" s="2345">
        <v>43867</v>
      </c>
      <c r="D9" s="2348" t="s">
        <v>837</v>
      </c>
      <c r="E9" s="1021">
        <f ca="1">IF(F9&lt;B2,"已过期",2002110125)</f>
        <v>2002110125</v>
      </c>
      <c r="F9" s="1029">
        <v>47118</v>
      </c>
    </row>
    <row r="10" spans="1:6" ht="24" customHeight="1">
      <c r="A10" s="1702" t="s">
        <v>838</v>
      </c>
      <c r="B10" s="1021">
        <f ca="1">IF(C10&lt;B2,"已过期",1120060040)</f>
        <v>1120060040</v>
      </c>
      <c r="C10" s="2345">
        <v>43483</v>
      </c>
      <c r="D10" s="2348" t="s">
        <v>838</v>
      </c>
      <c r="E10" s="1021">
        <f ca="1">IF(F10&lt;B2,"已过期",2004110096)</f>
        <v>2004110096</v>
      </c>
      <c r="F10" s="1029">
        <v>47118</v>
      </c>
    </row>
    <row r="11" spans="1:6" ht="24" customHeight="1">
      <c r="A11" s="1702" t="s">
        <v>839</v>
      </c>
      <c r="B11" s="1021">
        <f ca="1">IF(C11&lt;B2,"已过期",1120100036)</f>
        <v>1120100036</v>
      </c>
      <c r="C11" s="2345">
        <v>43622</v>
      </c>
      <c r="D11" s="2348" t="s">
        <v>839</v>
      </c>
      <c r="E11" s="1021">
        <f ca="1">IF(F11&lt;B2,"已过期",2010110070)</f>
        <v>2010110070</v>
      </c>
      <c r="F11" s="1029">
        <v>47907</v>
      </c>
    </row>
    <row r="12" spans="1:6" ht="24" customHeight="1">
      <c r="A12" s="1702"/>
      <c r="B12" s="1021"/>
      <c r="C12" s="2345"/>
      <c r="D12" s="2348"/>
      <c r="E12" s="1021"/>
      <c r="F12" s="1021"/>
    </row>
    <row r="13" spans="1:6" ht="24" customHeight="1">
      <c r="A13" s="1702" t="s">
        <v>840</v>
      </c>
      <c r="B13" s="1021">
        <f ca="1">IF(C13&lt;B2,"已过期",1120070131)</f>
        <v>1120070131</v>
      </c>
      <c r="C13" s="2345">
        <v>43814</v>
      </c>
      <c r="D13" s="2348" t="s">
        <v>840</v>
      </c>
      <c r="E13" s="1021">
        <v>2014110011</v>
      </c>
      <c r="F13" s="1029">
        <v>49302</v>
      </c>
    </row>
    <row r="14" spans="1:6" ht="24" customHeight="1">
      <c r="A14" s="1702" t="s">
        <v>841</v>
      </c>
      <c r="B14" s="1021">
        <f ca="1">IF(C14&lt;B2,"已过期",1120130020)</f>
        <v>1120130020</v>
      </c>
      <c r="C14" s="2345">
        <v>43622</v>
      </c>
      <c r="D14" s="2348"/>
      <c r="E14" s="1021"/>
      <c r="F14" s="1021"/>
    </row>
    <row r="15" spans="1:6" ht="24" customHeight="1">
      <c r="A15" s="1703" t="s">
        <v>1149</v>
      </c>
      <c r="B15" s="1021">
        <v>1120070085</v>
      </c>
      <c r="C15" s="2345">
        <v>43814</v>
      </c>
      <c r="D15" s="2349" t="s">
        <v>1149</v>
      </c>
      <c r="E15" s="1021">
        <v>2004110128</v>
      </c>
      <c r="F15" s="1022">
        <v>47118</v>
      </c>
    </row>
    <row r="16" spans="1:6" ht="24" customHeight="1">
      <c r="A16" s="1702" t="s">
        <v>842</v>
      </c>
      <c r="B16" s="1021">
        <f ca="1">IF(C16&lt;B2,"已过期",1120140022)</f>
        <v>1120140022</v>
      </c>
      <c r="C16" s="2345">
        <v>44029</v>
      </c>
      <c r="D16" s="2348" t="s">
        <v>842</v>
      </c>
      <c r="E16" s="1021">
        <f ca="1">IF(F16&lt;B2,"已过期",2008110059)</f>
        <v>2008110059</v>
      </c>
      <c r="F16" s="1029">
        <v>47177</v>
      </c>
    </row>
    <row r="17" spans="1:7" ht="24" customHeight="1">
      <c r="A17" s="1702"/>
      <c r="B17" s="1021"/>
      <c r="C17" s="2345"/>
      <c r="D17" s="2348"/>
      <c r="E17" s="1021"/>
      <c r="F17" s="1029"/>
    </row>
    <row r="18" spans="1:7" ht="24" customHeight="1">
      <c r="A18" s="1702"/>
      <c r="B18" s="1021"/>
      <c r="C18" s="2345"/>
      <c r="D18" s="2348"/>
      <c r="E18" s="1021"/>
      <c r="F18" s="1029"/>
    </row>
    <row r="19" spans="1:7" ht="24" customHeight="1">
      <c r="A19" s="1702"/>
      <c r="B19" s="1021"/>
      <c r="C19" s="2345"/>
      <c r="D19" s="2348"/>
      <c r="E19" s="1021"/>
      <c r="F19" s="1021"/>
    </row>
    <row r="20" spans="1:7" ht="24" customHeight="1">
      <c r="A20" s="1702"/>
      <c r="B20" s="1021"/>
      <c r="C20" s="2345"/>
      <c r="D20" s="2348"/>
      <c r="E20" s="1021"/>
      <c r="F20" s="1021"/>
    </row>
    <row r="21" spans="1:7" ht="24" customHeight="1">
      <c r="A21" s="1702"/>
      <c r="B21" s="1021"/>
      <c r="C21" s="2345"/>
      <c r="D21" s="2348" t="s">
        <v>843</v>
      </c>
      <c r="E21" s="1021">
        <f ca="1">IF(F21&lt;B2,"已过期",2011110090)</f>
        <v>2011110090</v>
      </c>
      <c r="F21" s="1029">
        <v>48302</v>
      </c>
    </row>
    <row r="22" spans="1:7" ht="24" customHeight="1">
      <c r="A22" s="1702" t="s">
        <v>844</v>
      </c>
      <c r="B22" s="1021">
        <f ca="1">IF(C22&lt;B2,"已过期",1120020033)</f>
        <v>1120020033</v>
      </c>
      <c r="C22" s="2345">
        <v>43304</v>
      </c>
      <c r="D22" s="2348" t="s">
        <v>844</v>
      </c>
      <c r="E22" s="1021">
        <f ca="1">IF(F22&lt;B2,"已过期",2000110137)</f>
        <v>2000110137</v>
      </c>
      <c r="F22" s="1029">
        <v>46387</v>
      </c>
    </row>
    <row r="23" spans="1:7" ht="24" customHeight="1">
      <c r="A23" s="1702" t="s">
        <v>845</v>
      </c>
      <c r="B23" s="1021">
        <f ca="1">IF(C23&lt;B2,"已过期",1120130048)</f>
        <v>1120130048</v>
      </c>
      <c r="C23" s="2345">
        <v>43686</v>
      </c>
      <c r="D23" s="2348"/>
      <c r="E23" s="1021"/>
      <c r="F23" s="1021"/>
    </row>
    <row r="24" spans="1:7" s="1023" customFormat="1" ht="24" customHeight="1">
      <c r="A24" s="1703" t="s">
        <v>1334</v>
      </c>
      <c r="B24" s="1703" t="s">
        <v>1334</v>
      </c>
      <c r="C24" s="2346" t="s">
        <v>1334</v>
      </c>
      <c r="D24" s="2349" t="s">
        <v>1334</v>
      </c>
      <c r="E24" s="1703" t="s">
        <v>1334</v>
      </c>
      <c r="F24" s="1703" t="s">
        <v>1334</v>
      </c>
    </row>
    <row r="25" spans="1:7" ht="24" customHeight="1">
      <c r="A25" s="3697" t="s">
        <v>846</v>
      </c>
      <c r="B25" s="3697"/>
      <c r="C25" s="3697"/>
      <c r="D25" s="3697"/>
      <c r="E25" s="3697"/>
      <c r="F25" s="3697"/>
      <c r="G25" s="3697"/>
    </row>
    <row r="26" spans="1:7" s="1024" customFormat="1" ht="24" customHeight="1">
      <c r="A26" s="3698" t="s">
        <v>847</v>
      </c>
      <c r="B26" s="3698"/>
      <c r="C26" s="3699"/>
      <c r="D26" s="3700" t="s">
        <v>848</v>
      </c>
      <c r="E26" s="3698"/>
      <c r="F26" s="3698"/>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51" priority="55">
      <formula>AND($C28-TODAY()&lt;30,TODAY()&lt;$C28)</formula>
    </cfRule>
  </conditionalFormatting>
  <conditionalFormatting sqref="C28 F4">
    <cfRule type="cellIs" dxfId="250" priority="57" stopIfTrue="1" operator="lessThan">
      <formula>$B$2</formula>
    </cfRule>
  </conditionalFormatting>
  <conditionalFormatting sqref="C5">
    <cfRule type="expression" dxfId="249" priority="52">
      <formula>AND($C5-TODAY()&lt;30,TODAY()&lt;$C5)</formula>
    </cfRule>
  </conditionalFormatting>
  <conditionalFormatting sqref="C5 F5">
    <cfRule type="cellIs" dxfId="248" priority="53" stopIfTrue="1" operator="lessThan">
      <formula>$B$2</formula>
    </cfRule>
  </conditionalFormatting>
  <conditionalFormatting sqref="F6 F8 F10">
    <cfRule type="cellIs" dxfId="247" priority="51" stopIfTrue="1" operator="lessThan">
      <formula>$B$2</formula>
    </cfRule>
  </conditionalFormatting>
  <conditionalFormatting sqref="C4:C23">
    <cfRule type="expression" dxfId="246" priority="49">
      <formula>AND($C4-TODAY()&lt;30,TODAY()&lt;$C4)</formula>
    </cfRule>
  </conditionalFormatting>
  <conditionalFormatting sqref="F7 F9 F11 C4:C23">
    <cfRule type="cellIs" dxfId="245" priority="50" stopIfTrue="1" operator="lessThan">
      <formula>$B$2</formula>
    </cfRule>
  </conditionalFormatting>
  <conditionalFormatting sqref="C12">
    <cfRule type="expression" dxfId="244" priority="47">
      <formula>AND($C12-TODAY()&lt;30,TODAY()&lt;$C12)</formula>
    </cfRule>
  </conditionalFormatting>
  <conditionalFormatting sqref="C12">
    <cfRule type="cellIs" dxfId="243" priority="48" stopIfTrue="1" operator="lessThan">
      <formula>$B$2</formula>
    </cfRule>
  </conditionalFormatting>
  <conditionalFormatting sqref="C14">
    <cfRule type="expression" dxfId="242" priority="43">
      <formula>AND($C14-TODAY()&lt;30,TODAY()&lt;$C14)</formula>
    </cfRule>
  </conditionalFormatting>
  <conditionalFormatting sqref="C14">
    <cfRule type="cellIs" dxfId="241" priority="44" stopIfTrue="1" operator="lessThan">
      <formula>$B$2</formula>
    </cfRule>
  </conditionalFormatting>
  <conditionalFormatting sqref="C16">
    <cfRule type="expression" dxfId="240" priority="41">
      <formula>AND($C16-TODAY()&lt;30,TODAY()&lt;$C16)</formula>
    </cfRule>
  </conditionalFormatting>
  <conditionalFormatting sqref="C16">
    <cfRule type="cellIs" dxfId="239" priority="42" stopIfTrue="1" operator="lessThan">
      <formula>$B$2</formula>
    </cfRule>
  </conditionalFormatting>
  <conditionalFormatting sqref="C18">
    <cfRule type="expression" dxfId="238" priority="39">
      <formula>AND($C18-TODAY()&lt;30,TODAY()&lt;$C18)</formula>
    </cfRule>
  </conditionalFormatting>
  <conditionalFormatting sqref="C18">
    <cfRule type="cellIs" dxfId="237" priority="40" stopIfTrue="1" operator="lessThan">
      <formula>$B$2</formula>
    </cfRule>
  </conditionalFormatting>
  <conditionalFormatting sqref="C20">
    <cfRule type="expression" dxfId="236" priority="37">
      <formula>AND($C20-TODAY()&lt;30,TODAY()&lt;$C20)</formula>
    </cfRule>
  </conditionalFormatting>
  <conditionalFormatting sqref="C20">
    <cfRule type="cellIs" dxfId="235" priority="38" stopIfTrue="1" operator="lessThan">
      <formula>$B$2</formula>
    </cfRule>
  </conditionalFormatting>
  <conditionalFormatting sqref="C22">
    <cfRule type="expression" dxfId="234" priority="35">
      <formula>AND($C22-TODAY()&lt;30,TODAY()&lt;$C22)</formula>
    </cfRule>
  </conditionalFormatting>
  <conditionalFormatting sqref="C22">
    <cfRule type="cellIs" dxfId="233" priority="36" stopIfTrue="1" operator="lessThan">
      <formula>$B$2</formula>
    </cfRule>
  </conditionalFormatting>
  <conditionalFormatting sqref="C15">
    <cfRule type="expression" dxfId="232" priority="33">
      <formula>AND($C15-TODAY()&lt;30,TODAY()&lt;$C15)</formula>
    </cfRule>
  </conditionalFormatting>
  <conditionalFormatting sqref="C15">
    <cfRule type="cellIs" dxfId="231" priority="34" stopIfTrue="1" operator="lessThan">
      <formula>$B$2</formula>
    </cfRule>
  </conditionalFormatting>
  <conditionalFormatting sqref="C17">
    <cfRule type="expression" dxfId="230" priority="31">
      <formula>AND($C17-TODAY()&lt;30,TODAY()&lt;$C17)</formula>
    </cfRule>
  </conditionalFormatting>
  <conditionalFormatting sqref="C17">
    <cfRule type="cellIs" dxfId="229" priority="32" stopIfTrue="1" operator="lessThan">
      <formula>$B$2</formula>
    </cfRule>
  </conditionalFormatting>
  <conditionalFormatting sqref="C19">
    <cfRule type="expression" dxfId="228" priority="29">
      <formula>AND($C19-TODAY()&lt;30,TODAY()&lt;$C19)</formula>
    </cfRule>
  </conditionalFormatting>
  <conditionalFormatting sqref="C19">
    <cfRule type="cellIs" dxfId="227" priority="30" stopIfTrue="1" operator="lessThan">
      <formula>$B$2</formula>
    </cfRule>
  </conditionalFormatting>
  <conditionalFormatting sqref="C21">
    <cfRule type="expression" dxfId="226" priority="27">
      <formula>AND($C21-TODAY()&lt;30,TODAY()&lt;$C21)</formula>
    </cfRule>
  </conditionalFormatting>
  <conditionalFormatting sqref="C21">
    <cfRule type="cellIs" dxfId="225" priority="28" stopIfTrue="1" operator="lessThan">
      <formula>$B$2</formula>
    </cfRule>
  </conditionalFormatting>
  <conditionalFormatting sqref="C23">
    <cfRule type="expression" dxfId="224" priority="25">
      <formula>AND($C23-TODAY()&lt;30,TODAY()&lt;$C23)</formula>
    </cfRule>
  </conditionalFormatting>
  <conditionalFormatting sqref="C23">
    <cfRule type="cellIs" dxfId="223" priority="26" stopIfTrue="1" operator="lessThan">
      <formula>$B$2</formula>
    </cfRule>
  </conditionalFormatting>
  <conditionalFormatting sqref="F16">
    <cfRule type="cellIs" dxfId="222" priority="23" stopIfTrue="1" operator="lessThan">
      <formula>$B$2</formula>
    </cfRule>
  </conditionalFormatting>
  <conditionalFormatting sqref="F18">
    <cfRule type="cellIs" dxfId="221" priority="22" stopIfTrue="1" operator="lessThan">
      <formula>$B$2</formula>
    </cfRule>
  </conditionalFormatting>
  <conditionalFormatting sqref="F22">
    <cfRule type="cellIs" dxfId="220" priority="21" stopIfTrue="1" operator="lessThan">
      <formula>$B$2</formula>
    </cfRule>
  </conditionalFormatting>
  <conditionalFormatting sqref="F21">
    <cfRule type="cellIs" dxfId="219" priority="20" stopIfTrue="1" operator="lessThan">
      <formula>$B$2</formula>
    </cfRule>
  </conditionalFormatting>
  <conditionalFormatting sqref="F17">
    <cfRule type="cellIs" dxfId="218" priority="19" stopIfTrue="1" operator="lessThan">
      <formula>$B$2</formula>
    </cfRule>
  </conditionalFormatting>
  <conditionalFormatting sqref="B4:B14 E4:E14 B16:B23 E16:E23">
    <cfRule type="cellIs" dxfId="217" priority="18" stopIfTrue="1" operator="equal">
      <formula>"已过期"</formula>
    </cfRule>
  </conditionalFormatting>
  <conditionalFormatting sqref="A24:F24">
    <cfRule type="cellIs" dxfId="216" priority="14" stopIfTrue="1" operator="equal">
      <formula>"已过期"</formula>
    </cfRule>
  </conditionalFormatting>
  <conditionalFormatting sqref="F28">
    <cfRule type="expression" dxfId="215" priority="12">
      <formula>AND($E28-TODAY()&lt;30,TODAY()&lt;$E28)</formula>
    </cfRule>
  </conditionalFormatting>
  <conditionalFormatting sqref="F28">
    <cfRule type="cellIs" dxfId="214" priority="13" stopIfTrue="1" operator="lessThan">
      <formula>$B$2</formula>
    </cfRule>
  </conditionalFormatting>
  <conditionalFormatting sqref="F29">
    <cfRule type="expression" dxfId="213" priority="8" stopIfTrue="1">
      <formula>AND($E29-TODAY()&lt;30,TODAY()&lt;$E29)</formula>
    </cfRule>
  </conditionalFormatting>
  <conditionalFormatting sqref="F29">
    <cfRule type="cellIs" dxfId="212" priority="9" stopIfTrue="1" operator="lessThan">
      <formula>$B$2</formula>
    </cfRule>
  </conditionalFormatting>
  <conditionalFormatting sqref="B15">
    <cfRule type="cellIs" dxfId="211" priority="6" stopIfTrue="1" operator="equal">
      <formula>"已过期"</formula>
    </cfRule>
  </conditionalFormatting>
  <conditionalFormatting sqref="A15">
    <cfRule type="cellIs" dxfId="210" priority="5" stopIfTrue="1" operator="equal">
      <formula>"已过期"</formula>
    </cfRule>
  </conditionalFormatting>
  <conditionalFormatting sqref="C15">
    <cfRule type="expression" dxfId="209" priority="4">
      <formula>AND($C15-TODAY()&lt;30,TODAY()&lt;$C15)</formula>
    </cfRule>
  </conditionalFormatting>
  <conditionalFormatting sqref="E15">
    <cfRule type="cellIs" dxfId="208" priority="3" stopIfTrue="1" operator="equal">
      <formula>"已过期"</formula>
    </cfRule>
  </conditionalFormatting>
  <conditionalFormatting sqref="D15">
    <cfRule type="cellIs" dxfId="207" priority="2" stopIfTrue="1" operator="equal">
      <formula>"已过期"</formula>
    </cfRule>
  </conditionalFormatting>
  <conditionalFormatting sqref="F13">
    <cfRule type="cellIs" dxfId="20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179</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收益法商业</vt:lpstr>
      <vt:lpstr>成本法</vt:lpstr>
      <vt:lpstr>成本法 (元)</vt:lpstr>
      <vt:lpstr>基准地价修正办公</vt:lpstr>
      <vt:lpstr>基准地价修正商业</vt:lpstr>
      <vt:lpstr>修正</vt:lpstr>
      <vt:lpstr>假设开发法</vt:lpstr>
      <vt:lpstr>基准地价修正 (2)</vt:lpstr>
      <vt:lpstr>收益法 (元)</vt:lpstr>
      <vt:lpstr>收益法（汇总）</vt:lpstr>
      <vt:lpstr>酒店收入计算</vt:lpstr>
      <vt:lpstr>收益法办公</vt:lpstr>
      <vt:lpstr>比较法-办公 (租金)</vt:lpstr>
      <vt:lpstr>比较法-商业</vt:lpstr>
      <vt:lpstr>比较法-办公</vt:lpstr>
      <vt:lpstr>比较法-工业</vt:lpstr>
      <vt:lpstr>比较法-联排</vt:lpstr>
      <vt:lpstr>收益法-联排</vt:lpstr>
      <vt:lpstr>比较法-车位</vt:lpstr>
      <vt:lpstr>收益法-车库</vt:lpstr>
      <vt:lpstr>收益法仓储</vt:lpstr>
      <vt:lpstr>比较法-仓储</vt:lpstr>
      <vt:lpstr>土地比较法-住宅、综合</vt:lpstr>
      <vt:lpstr>土地比较法-工业</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案例</vt:lpstr>
      <vt:lpstr>估价师及机构信息!Print_Area</vt:lpstr>
      <vt:lpstr>'收益法 (元)'!Print_Area</vt:lpstr>
      <vt:lpstr>收益法办公!Print_Area</vt:lpstr>
      <vt:lpstr>收益法仓储!Print_Area</vt:lpstr>
      <vt:lpstr>'收益法-车库'!Print_Area</vt:lpstr>
      <vt:lpstr>'收益法-联排'!Print_Area</vt:lpstr>
      <vt:lpstr>收益法商业!Print_Area</vt:lpstr>
      <vt:lpstr>'数据-汇总表'!Print_Area</vt:lpstr>
      <vt:lpstr>八级</vt:lpstr>
      <vt:lpstr>'比较法-办公 (租金)'!办公层高</vt:lpstr>
      <vt:lpstr>'基准地价修正 (2)'!办公层高</vt:lpstr>
      <vt:lpstr>办公层高</vt:lpstr>
      <vt:lpstr>'比较法-办公 (租金)'!办公朝向</vt:lpstr>
      <vt:lpstr>'基准地价修正 (2)'!办公朝向</vt:lpstr>
      <vt:lpstr>办公朝向</vt:lpstr>
      <vt:lpstr>'比较法-办公 (租金)'!办公道路级别</vt:lpstr>
      <vt:lpstr>'基准地价修正 (2)'!办公道路级别</vt:lpstr>
      <vt:lpstr>办公道路级别</vt:lpstr>
      <vt:lpstr>'比较法-办公 (租金)'!办公公共部分装修</vt:lpstr>
      <vt:lpstr>'基准地价修正 (2)'!办公公共部分装修</vt:lpstr>
      <vt:lpstr>办公公共部分装修</vt:lpstr>
      <vt:lpstr>'比较法-办公 (租金)'!办公基础设施水平</vt:lpstr>
      <vt:lpstr>'基准地价修正 (2)'!办公基础设施水平</vt:lpstr>
      <vt:lpstr>办公基础设施水平</vt:lpstr>
      <vt:lpstr>办公集聚程度</vt:lpstr>
      <vt:lpstr>'比较法-办公 (租金)'!办公建筑结构</vt:lpstr>
      <vt:lpstr>'基准地价修正 (2)'!办公建筑结构</vt:lpstr>
      <vt:lpstr>办公建筑结构</vt:lpstr>
      <vt:lpstr>'比较法-办公 (租金)'!办公建筑类型</vt:lpstr>
      <vt:lpstr>'基准地价修正 (2)'!办公建筑类型</vt:lpstr>
      <vt:lpstr>办公建筑类型</vt:lpstr>
      <vt:lpstr>'比较法-办公 (租金)'!办公交易情况</vt:lpstr>
      <vt:lpstr>'基准地价修正 (2)'!办公交易情况</vt:lpstr>
      <vt:lpstr>办公交易情况</vt:lpstr>
      <vt:lpstr>'比较法-办公 (租金)'!办公楼层</vt:lpstr>
      <vt:lpstr>'基准地价修正 (2)'!办公楼层</vt:lpstr>
      <vt:lpstr>办公楼层</vt:lpstr>
      <vt:lpstr>'比较法-办公 (租金)'!办公内部装修</vt:lpstr>
      <vt:lpstr>'基准地价修正 (2)'!办公内部装修</vt:lpstr>
      <vt:lpstr>办公内部装修</vt:lpstr>
      <vt:lpstr>'比较法-办公 (租金)'!办公物业管理</vt:lpstr>
      <vt:lpstr>'基准地价修正 (2)'!办公物业管理</vt:lpstr>
      <vt:lpstr>办公物业管理</vt:lpstr>
      <vt:lpstr>'比较法-办公 (租金)'!办公用途</vt:lpstr>
      <vt:lpstr>'基准地价修正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'基准地价修正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2018-01-12T06:17:29Z</dcterms:modified>
</cp:coreProperties>
</file>