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743"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 sheetId="43" state="hidden" r:id="rId23"/>
    <sheet name="假设开发法" sheetId="12" state="hidden" r:id="rId24"/>
    <sheet name="基准地价修正 (2)" sheetId="80" state="hidden" r:id="rId25"/>
    <sheet name="收益法 (元)" sheetId="67" state="hidden" r:id="rId26"/>
    <sheet name="收益法（汇总）" sheetId="70" state="hidden" r:id="rId27"/>
    <sheet name="酒店收入计算" sheetId="66" state="hidden" r:id="rId28"/>
    <sheet name="比较法-商业" sheetId="33" state="hidden" r:id="rId29"/>
    <sheet name="收益法办公" sheetId="82" state="hidden" r:id="rId30"/>
    <sheet name="比较法-办公 (租金)" sheetId="87"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收益法仓储" sheetId="1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面积表" sheetId="81" state="hidden" r:id="rId52"/>
    <sheet name="案例" sheetId="86" state="hidden" r:id="rId53"/>
  </sheets>
  <externalReferences>
    <externalReference r:id="rId54"/>
  </externalReferences>
  <definedNames>
    <definedName name="_xlnm._FilterDatabase" localSheetId="31" hidden="1">'比较法-办公'!$A$1:$L$50</definedName>
    <definedName name="_xlnm._FilterDatabase" localSheetId="30" hidden="1">'比较法-办公 (租金)'!$A$1:$L$50</definedName>
    <definedName name="_xlnm._FilterDatabase" localSheetId="38"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28" hidden="1">'比较法-商业'!$A$1:$L$49</definedName>
    <definedName name="_xlnm._FilterDatabase" localSheetId="1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9">收益法办公!$A$1:$AK$69</definedName>
    <definedName name="_xlnm.Print_Area" localSheetId="37">收益法仓储!$A$1:$AK$69</definedName>
    <definedName name="_xlnm.Print_Area" localSheetId="36">'收益法-车库'!$A$1:$AK$69</definedName>
    <definedName name="_xlnm.Print_Area" localSheetId="34">'收益法-联排'!$A$1:$AK$69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0">'比较法-办公 (租金)'!$B$119:$M$119</definedName>
    <definedName name="办公层高" localSheetId="24">'比较法-办公 (租金)'!$B$119:$M$119</definedName>
    <definedName name="办公层高">'比较法-办公'!$B$119:$M$119</definedName>
    <definedName name="办公朝向" localSheetId="30">'比较法-办公 (租金)'!$B$91:$M$91</definedName>
    <definedName name="办公朝向" localSheetId="24">'比较法-办公 (租金)'!$B$91:$M$91</definedName>
    <definedName name="办公朝向">'比较法-办公'!$B$91:$M$91</definedName>
    <definedName name="办公道路级别" localSheetId="30">'比较法-办公 (租金)'!$B$87:$M$87</definedName>
    <definedName name="办公道路级别" localSheetId="24">'比较法-办公 (租金)'!$B$87:$M$87</definedName>
    <definedName name="办公道路级别">'比较法-办公'!$B$87:$M$87</definedName>
    <definedName name="办公公共部分装修" localSheetId="30">'比较法-办公 (租金)'!$B$108:$M$108</definedName>
    <definedName name="办公公共部分装修" localSheetId="24">'比较法-办公 (租金)'!$B$108:$M$108</definedName>
    <definedName name="办公公共部分装修">'比较法-办公'!$B$108:$M$108</definedName>
    <definedName name="办公基础设施水平" localSheetId="30">'比较法-办公 (租金)'!$B$117:$M$117</definedName>
    <definedName name="办公基础设施水平" localSheetId="24">'比较法-办公 (租金)'!$B$117:$M$117</definedName>
    <definedName name="办公基础设施水平">'比较法-办公'!$B$117:$M$117</definedName>
    <definedName name="办公集聚程度" localSheetId="30">[1]定义!$M$1:$M$6</definedName>
    <definedName name="办公集聚程度" localSheetId="24">[1]定义!$M$1:$M$6</definedName>
    <definedName name="办公集聚程度">定义!$M$1:$M$6</definedName>
    <definedName name="办公建筑结构" localSheetId="30">'比较法-办公 (租金)'!$B$106:$M$106</definedName>
    <definedName name="办公建筑结构" localSheetId="24">'比较法-办公 (租金)'!$B$106:$M$106</definedName>
    <definedName name="办公建筑结构">'比较法-办公'!$B$106:$M$106</definedName>
    <definedName name="办公建筑类型" localSheetId="30">'比较法-办公 (租金)'!$B$101:$M$101</definedName>
    <definedName name="办公建筑类型" localSheetId="24">'比较法-办公 (租金)'!$B$101:$M$101</definedName>
    <definedName name="办公建筑类型">'比较法-办公'!$B$101:$M$101</definedName>
    <definedName name="办公交易情况" localSheetId="30">'比较法-办公 (租金)'!$A$62:$M$62</definedName>
    <definedName name="办公交易情况" localSheetId="24">'比较法-办公 (租金)'!$A$62:$M$62</definedName>
    <definedName name="办公交易情况">'比较法-办公'!$A$62:$M$62</definedName>
    <definedName name="办公楼层" localSheetId="30">'比较法-办公 (租金)'!$B$89:$M$89</definedName>
    <definedName name="办公楼层" localSheetId="24">'比较法-办公 (租金)'!$B$89:$M$89</definedName>
    <definedName name="办公楼层">'比较法-办公'!$B$89:$M$89</definedName>
    <definedName name="办公内部装修" localSheetId="30">'比较法-办公 (租金)'!$B$123:$M$123</definedName>
    <definedName name="办公内部装修" localSheetId="24">'比较法-办公 (租金)'!$B$123:$M$123</definedName>
    <definedName name="办公内部装修">'比较法-办公'!$B$123:$M$123</definedName>
    <definedName name="办公物业管理" localSheetId="30">'比较法-办公 (租金)'!$B$115:$M$115</definedName>
    <definedName name="办公物业管理" localSheetId="24">'比较法-办公 (租金)'!$B$115:$M$115</definedName>
    <definedName name="办公物业管理">'比较法-办公'!$B$115:$M$115</definedName>
    <definedName name="办公用途" localSheetId="30">'比较法-办公 (租金)'!$B$64:$M$64</definedName>
    <definedName name="办公用途" localSheetId="24">'比较法-办公 (租金)'!$B$64:$M$64</definedName>
    <definedName name="办公用途">'比较法-办公'!$B$64:$M$64</definedName>
    <definedName name="仓储公共部分装修" localSheetId="30">'[1]比较法-仓储'!$B$77:$M$77</definedName>
    <definedName name="仓储公共部分装修" localSheetId="24">'[1]比较法-仓储'!$B$77:$M$77</definedName>
    <definedName name="仓储公共部分装修">'比较法-仓储'!$B$77:$M$77</definedName>
    <definedName name="仓储交易情况" localSheetId="30">'[1]比较法-仓储'!$A$49:$M$49</definedName>
    <definedName name="仓储交易情况" localSheetId="24">'[1]比较法-仓储'!$A$49:$M$49</definedName>
    <definedName name="仓储交易情况">'比较法-仓储'!$A$49:$M$49</definedName>
    <definedName name="仓储楼层" localSheetId="30">'[1]比较法-仓储'!$B$69:$M$69</definedName>
    <definedName name="仓储楼层" localSheetId="24">'[1]比较法-仓储'!$B$69:$M$69</definedName>
    <definedName name="仓储楼层">'比较法-仓储'!$B$69:$M$69</definedName>
    <definedName name="仓储物业等级" localSheetId="30">'[1]比较法-仓储'!$B$82:$M$82</definedName>
    <definedName name="仓储物业等级" localSheetId="24">'[1]比较法-仓储'!$B$82:$M$82</definedName>
    <definedName name="仓储物业等级">'比较法-仓储'!$B$82:$M$82</definedName>
    <definedName name="仓储用途" localSheetId="30">'[1]比较法-仓储'!$B$51:$M$51</definedName>
    <definedName name="仓储用途" localSheetId="24">'[1]比较法-仓储'!$B$51:$M$51</definedName>
    <definedName name="仓储用途">'比较法-仓储'!$B$51:$M$51</definedName>
    <definedName name="产业集聚程度" localSheetId="30">[1]定义!$N$1:$N$6</definedName>
    <definedName name="产业集聚程度" localSheetId="24">[1]定义!$N$1:$N$6</definedName>
    <definedName name="产业集聚程度">定义!$N$1:$N$6</definedName>
    <definedName name="车位公共部分装修" localSheetId="30">'[1]比较法-车位'!$B$83:$M$83</definedName>
    <definedName name="车位公共部分装修" localSheetId="24">'[1]比较法-车位'!$B$83:$M$83</definedName>
    <definedName name="车位公共部分装修">'比较法-车位'!$B$83:$M$83</definedName>
    <definedName name="车位交易情况" localSheetId="30">'[1]比较法-车位'!$A$51:$M$51</definedName>
    <definedName name="车位交易情况" localSheetId="24">'[1]比较法-车位'!$A$51:$M$51</definedName>
    <definedName name="车位交易情况">'比较法-车位'!$A$51:$M$51</definedName>
    <definedName name="车位类型" localSheetId="30">'[1]比较法-车位'!$B$93:$M$93</definedName>
    <definedName name="车位类型" localSheetId="24">'[1]比较法-车位'!$B$93:$M$93</definedName>
    <definedName name="车位类型">'比较法-车位'!$B$93:$M$93</definedName>
    <definedName name="车位楼层" localSheetId="30">'[1]比较法-车位'!$B$71:$M$71</definedName>
    <definedName name="车位楼层" localSheetId="24">'[1]比较法-车位'!$B$71:$M$71</definedName>
    <definedName name="车位楼层">'比较法-车位'!$B$71:$M$71</definedName>
    <definedName name="车位配套类型" localSheetId="30">'[1]比较法-车位'!$B$79:$M$79</definedName>
    <definedName name="车位配套类型" localSheetId="24">'[1]比较法-车位'!$B$79:$M$79</definedName>
    <definedName name="车位配套类型">'比较法-车位'!$B$79:$M$79</definedName>
    <definedName name="车位物业等级" localSheetId="30">'[1]比较法-车位'!$B$88:$M$88</definedName>
    <definedName name="车位物业等级" localSheetId="24">'[1]比较法-车位'!$B$88:$M$88</definedName>
    <definedName name="车位物业等级">'比较法-车位'!$B$88:$M$88</definedName>
    <definedName name="车位用途" localSheetId="30">'[1]比较法-车位'!$B$53:$M$53</definedName>
    <definedName name="车位用途" localSheetId="24">'[1]比较法-车位'!$B$53:$M$53</definedName>
    <definedName name="车位用途">'比较法-车位'!$B$53:$M$53</definedName>
    <definedName name="城镇土地纳税等级分级范围" localSheetId="30">'[1]数据-取费表'!$A$53:$A$63</definedName>
    <definedName name="城镇土地纳税等级分级范围" localSheetId="24">'[1]数据-取费表'!$A$53:$A$63</definedName>
    <definedName name="城镇土地纳税等级分级范围">'数据-取费表'!$A$53:$A$63</definedName>
    <definedName name="单价内涵" localSheetId="30">[1]定义!$V$1:$V$3</definedName>
    <definedName name="单价内涵" localSheetId="24">[1]定义!$V$1:$V$3</definedName>
    <definedName name="单价内涵">定义!$V$1:$V$3</definedName>
    <definedName name="地类判定" localSheetId="30">[1]定义!$H$1:$H$9</definedName>
    <definedName name="地类判定" localSheetId="24">[1]定义!$H$1:$H$9</definedName>
    <definedName name="地类判定">定义!$H$1:$H$9</definedName>
    <definedName name="二级">区片价!$I$1:$I$20</definedName>
    <definedName name="二级分类" localSheetId="30">[1]修正!$C$17:$C$39</definedName>
    <definedName name="二级分类" localSheetId="24">[1]修正!$C$17:$C$39</definedName>
    <definedName name="二级分类">修正!$C$17:$C$39</definedName>
    <definedName name="法定最高年限" localSheetId="30">[1]定义!$G$1:$G$4</definedName>
    <definedName name="法定最高年限" localSheetId="24">[1]定义!$G$1:$G$4</definedName>
    <definedName name="法定最高年限">定义!$G$1:$G$4</definedName>
    <definedName name="工业公共部分装修" localSheetId="30">'[1]比较法-工业'!$B$95:$M$95</definedName>
    <definedName name="工业公共部分装修" localSheetId="24">'[1]比较法-工业'!$B$95:$M$95</definedName>
    <definedName name="工业公共部分装修">'比较法-工业'!$B$95:$M$95</definedName>
    <definedName name="工业基础设施水平" localSheetId="30">'[1]比较法-工业'!$B$102:$M$102</definedName>
    <definedName name="工业基础设施水平" localSheetId="24">'[1]比较法-工业'!$B$102:$M$102</definedName>
    <definedName name="工业基础设施水平">'比较法-工业'!$B$102:$M$102</definedName>
    <definedName name="工业建筑结构" localSheetId="30">'[1]比较法-工业'!$B$93:$M$93</definedName>
    <definedName name="工业建筑结构" localSheetId="24">'[1]比较法-工业'!$B$93:$M$93</definedName>
    <definedName name="工业建筑结构">'比较法-工业'!$B$93:$M$93</definedName>
    <definedName name="工业建筑类型" localSheetId="30">'[1]比较法-工业'!$B$88:$M$88</definedName>
    <definedName name="工业建筑类型" localSheetId="24">'[1]比较法-工业'!$B$88:$M$88</definedName>
    <definedName name="工业建筑类型">'比较法-工业'!$B$88:$M$88</definedName>
    <definedName name="工业交易情况" localSheetId="30">'[1]比较法-工业'!$A$55:$M$55</definedName>
    <definedName name="工业交易情况" localSheetId="24">'[1]比较法-工业'!$A$55:$M$55</definedName>
    <definedName name="工业交易情况">'比较法-工业'!$A$55:$M$55</definedName>
    <definedName name="工业内部装修" localSheetId="30">'[1]比较法-工业'!$B$104:$M$104</definedName>
    <definedName name="工业内部装修" localSheetId="24">'[1]比较法-工业'!$B$104:$M$104</definedName>
    <definedName name="工业内部装修">'比较法-工业'!$B$104:$M$104</definedName>
    <definedName name="工业物业管理" localSheetId="30">'[1]比较法-工业'!$B$100:$M$100</definedName>
    <definedName name="工业物业管理" localSheetId="24">'[1]比较法-工业'!$B$100:$M$100</definedName>
    <definedName name="工业物业管理">'比较法-工业'!$B$100:$M$100</definedName>
    <definedName name="工业用途" localSheetId="30">'[1]比较法-工业'!$B$57:$M$57</definedName>
    <definedName name="工业用途" localSheetId="24">'[1]比较法-工业'!$B$57:$M$57</definedName>
    <definedName name="工业用途">'比较法-工业'!$B$57:$M$57</definedName>
    <definedName name="公共配套设施" localSheetId="30">[1]定义!$Q$1:$Q$6</definedName>
    <definedName name="公共配套设施" localSheetId="24">[1]定义!$Q$1:$Q$6</definedName>
    <definedName name="公共配套设施">定义!$Q$1:$Q$6</definedName>
    <definedName name="估价方法" localSheetId="30">[1]定义!$B$1:$B$50</definedName>
    <definedName name="估价方法" localSheetId="24">[1]定义!$B$1:$B$50</definedName>
    <definedName name="估价方法">定义!$B$1:$B$50</definedName>
    <definedName name="环境" localSheetId="30">[1]定义!$S$1:$S$6</definedName>
    <definedName name="环境" localSheetId="24">[1]定义!$S$1:$S$6</definedName>
    <definedName name="环境">定义!$S$1:$S$6</definedName>
    <definedName name="基础设施水平" localSheetId="30">[1]定义!$R$1:$R$6</definedName>
    <definedName name="基础设施水平" localSheetId="24">[1]定义!$R$1:$R$6</definedName>
    <definedName name="基础设施水平">定义!$R$1:$R$6</definedName>
    <definedName name="季度" localSheetId="24">'基准地价修正 (2)'!$Q$19:$AD$19</definedName>
    <definedName name="季度">基准地价修正!$Q$19:$AD$19</definedName>
    <definedName name="价值类型2" localSheetId="30">[1]定义!$B$54:$B$56</definedName>
    <definedName name="价值类型2" localSheetId="24">[1]定义!$B$54:$B$56</definedName>
    <definedName name="价值类型2">定义!$B$54:$B$56</definedName>
    <definedName name="交通便捷度" localSheetId="30">[1]定义!$O$1:$O$6</definedName>
    <definedName name="交通便捷度" localSheetId="24">[1]定义!$O$1:$O$6</definedName>
    <definedName name="交通便捷度">定义!$O$1:$O$6</definedName>
    <definedName name="九级">区片价!$P$1:$P$46</definedName>
    <definedName name="居住社区成熟度" localSheetId="30">[1]定义!$K$1:$K$6</definedName>
    <definedName name="居住社区成熟度" localSheetId="24">[1]定义!$K$1:$K$6</definedName>
    <definedName name="居住社区成熟度">定义!$K$1:$K$6</definedName>
    <definedName name="类别" localSheetId="30">[1]定义!$J$1:$J$3</definedName>
    <definedName name="类别" localSheetId="24">[1]定义!$J$1:$J$3</definedName>
    <definedName name="类别">定义!$J$1:$J$3</definedName>
    <definedName name="临街状况" localSheetId="30">[1]定义!$T$1:$T$5</definedName>
    <definedName name="临街状况" localSheetId="24">[1]定义!$T$1:$T$5</definedName>
    <definedName name="临街状况">定义!$T$1:$T$5</definedName>
    <definedName name="六级">区片价!$M$1:$M$49</definedName>
    <definedName name="内部装修维护情况" localSheetId="30">[1]定义!$U$1:$U$6</definedName>
    <definedName name="内部装修维护情况" localSheetId="24">[1]定义!$U$1:$U$6</definedName>
    <definedName name="内部装修维护情况">定义!$U$1:$U$6</definedName>
    <definedName name="判定" localSheetId="30">[1]定义!$D$1:$D$4</definedName>
    <definedName name="判定" localSheetId="24">[1]定义!$D$1:$D$4</definedName>
    <definedName name="判定">定义!$D$1:$D$4</definedName>
    <definedName name="七级">区片价!$N$1:$N$49</definedName>
    <definedName name="七通一平" localSheetId="30">[1]修正!$A$6:$A$14</definedName>
    <definedName name="七通一平" localSheetId="24">[1]修正!$A$6:$A$14</definedName>
    <definedName name="七通一平">修正!$A$6:$A$14</definedName>
    <definedName name="区域土地利用方向" localSheetId="30">[1]定义!$P$1:$P$6</definedName>
    <definedName name="区域土地利用方向" localSheetId="24">[1]定义!$P$1:$P$6</definedName>
    <definedName name="区域土地利用方向">定义!$P$1:$P$6</definedName>
    <definedName name="三级">区片价!$J$1:$J$21</definedName>
    <definedName name="商业层高" localSheetId="30">'[1]比较法-商业'!$B$116:$M$116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30">[1]定义!$L$1:$L$6</definedName>
    <definedName name="商业繁华度" localSheetId="24">[1]定义!$L$1:$L$6</definedName>
    <definedName name="商业繁华度">定义!$L$1:$L$6</definedName>
    <definedName name="商业公共部分装修" localSheetId="30">'[1]比较法-商业'!$B$107:$M$107</definedName>
    <definedName name="商业公共部分装修" localSheetId="24">'[1]比较法-商业'!$B$107:$M$107</definedName>
    <definedName name="商业公共部分装修">'比较法-商业'!$B$107:$M$107</definedName>
    <definedName name="商业基础设施水平" localSheetId="30">'[1]比较法-商业'!$B$112:$M$112</definedName>
    <definedName name="商业基础设施水平" localSheetId="24">'[1]比较法-商业'!$B$112:$M$112</definedName>
    <definedName name="商业基础设施水平">'比较法-商业'!$B$112:$M$112</definedName>
    <definedName name="商业建筑结构" localSheetId="30">'[1]比较法-商业'!$B$105:$M$105</definedName>
    <definedName name="商业建筑结构" localSheetId="24">'[1]比较法-商业'!$B$105:$M$105</definedName>
    <definedName name="商业建筑结构">'比较法-商业'!$B$105:$M$105</definedName>
    <definedName name="商业交易情况" localSheetId="30">'[1]比较法-商业'!$A$61:$M$61</definedName>
    <definedName name="商业交易情况" localSheetId="24">'[1]比较法-商业'!$A$61:$M$61</definedName>
    <definedName name="商业交易情况">'比较法-商业'!$A$61:$M$61</definedName>
    <definedName name="商业街名称" localSheetId="30">[1]修正!$C$59:$C$119</definedName>
    <definedName name="商业街名称" localSheetId="24">[1]修正!$C$59:$C$119</definedName>
    <definedName name="商业街名称">修正!$C$59:$C$119</definedName>
    <definedName name="商业进深比" localSheetId="30">'[1]比较法-商业'!$B$120:$M$120</definedName>
    <definedName name="商业进深比" localSheetId="24">'[1]比较法-商业'!$B$120:$M$120</definedName>
    <definedName name="商业进深比">'比较法-商业'!$B$120:$M$120</definedName>
    <definedName name="商业类型" localSheetId="30">'[1]比较法-商业'!$B$100:$M$100</definedName>
    <definedName name="商业类型" localSheetId="24">'[1]比较法-商业'!$B$100:$M$100</definedName>
    <definedName name="商业类型">'比较法-商业'!$B$100:$M$100</definedName>
    <definedName name="商业临街状况" localSheetId="30">'[1]比较法-商业'!$B$86:$M$86</definedName>
    <definedName name="商业临街状况" localSheetId="24">'[1]比较法-商业'!$B$86:$M$86</definedName>
    <definedName name="商业临街状况">'比较法-商业'!$B$86:$M$86</definedName>
    <definedName name="商业楼层" localSheetId="30">'[1]比较法-商业'!$B$92:$M$92</definedName>
    <definedName name="商业楼层" localSheetId="24">'[1]比较法-商业'!$B$92:$M$92</definedName>
    <definedName name="商业楼层">'比较法-商业'!$B$92:$M$92</definedName>
    <definedName name="商业内部装修" localSheetId="30">'[1]比较法-商业'!$B$122:$M$122</definedName>
    <definedName name="商业内部装修" localSheetId="24">'[1]比较法-商业'!$B$122:$M$122</definedName>
    <definedName name="商业内部装修">'比较法-商业'!$B$122:$M$122</definedName>
    <definedName name="商业人流量" localSheetId="30">'[1]比较法-商业'!$B$90:$M$90</definedName>
    <definedName name="商业人流量" localSheetId="24">'[1]比较法-商业'!$B$90:$M$90</definedName>
    <definedName name="商业人流量">'比较法-商业'!$B$90:$M$90</definedName>
    <definedName name="商业业态" localSheetId="30">'[1]比较法-商业'!$B$114:$M$114</definedName>
    <definedName name="商业业态" localSheetId="24">'[1]比较法-商业'!$B$114:$M$114</definedName>
    <definedName name="商业业态">'比较法-商业'!$B$114:$M$114</definedName>
    <definedName name="商业用途" localSheetId="30">'[1]比较法-商业'!$B$63:$M$63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'[1]比较法-仓储'!$B$89:$M$89</definedName>
    <definedName name="是否封闭" localSheetId="24">'[1]比较法-仓储'!$B$89:$M$89</definedName>
    <definedName name="是否封闭">'比较法-仓储'!$B$89:$M$89</definedName>
    <definedName name="是否直接入户" localSheetId="30">'[1]比较法-车位'!$B$95:$M$95</definedName>
    <definedName name="是否直接入户" localSheetId="24">'[1]比较法-车位'!$B$95:$M$95</definedName>
    <definedName name="是否直接入户">'比较法-车位'!$B$95:$M$95</definedName>
    <definedName name="四级">区片价!$K$1:$K$28</definedName>
    <definedName name="套工道路等级" localSheetId="30">'[1]土地比较法-工业'!$B$97:$M$97</definedName>
    <definedName name="套工道路等级" localSheetId="24">'[1]土地比较法-工业'!$B$97:$M$97</definedName>
    <definedName name="套工道路等级">'土地比较法-工业'!$B$97:$M$97</definedName>
    <definedName name="套工地质条件" localSheetId="30">'[1]土地比较法-工业'!$B$114:$M$114</definedName>
    <definedName name="套工地质条件" localSheetId="24">'[1]土地比较法-工业'!$B$114:$M$114</definedName>
    <definedName name="套工地质条件">'土地比较法-工业'!$B$114:$M$114</definedName>
    <definedName name="套工交易情况" localSheetId="30">'[1]土地比较法-住宅、综合'!$A$73:$M$73</definedName>
    <definedName name="套工交易情况" localSheetId="24">'[1]土地比较法-住宅、综合'!$A$73:$M$73</definedName>
    <definedName name="套工交易情况">'土地比较法-住宅、综合'!$A$73:$M$73</definedName>
    <definedName name="套工土地级别" localSheetId="30">'[1]土地比较法-工业'!$B$99:$M$99</definedName>
    <definedName name="套工土地级别" localSheetId="24">'[1]土地比较法-工业'!$B$99:$M$99</definedName>
    <definedName name="套工土地级别">'土地比较法-工业'!$B$99:$M$99</definedName>
    <definedName name="套工用途" localSheetId="30">'[1]土地比较法-工业'!$B$70:$M$70</definedName>
    <definedName name="套工用途" localSheetId="24">'[1]土地比较法-工业'!$B$70:$M$70</definedName>
    <definedName name="套工用途">'土地比较法-工业'!$B$70:$M$70</definedName>
    <definedName name="套工宗地开发程度" localSheetId="30">'[1]土地比较法-工业'!$B$112:$M$112</definedName>
    <definedName name="套工宗地开发程度" localSheetId="24">'[1]土地比较法-工业'!$B$112:$M$112</definedName>
    <definedName name="套工宗地开发程度">'土地比较法-工业'!$B$112:$M$112</definedName>
    <definedName name="套工宗地形状" localSheetId="30">'[1]土地比较法-工业'!$B$110:$M$110</definedName>
    <definedName name="套工宗地形状" localSheetId="24">'[1]土地比较法-工业'!$B$110:$M$110</definedName>
    <definedName name="套工宗地形状">'土地比较法-工业'!$B$110:$M$110</definedName>
    <definedName name="套综道路等级" localSheetId="30">'[1]土地比较法-住宅、综合'!$B$106:$M$106</definedName>
    <definedName name="套综道路等级" localSheetId="24">'[1]土地比较法-住宅、综合'!$B$106:$M$106</definedName>
    <definedName name="套综道路等级">'土地比较法-住宅、综合'!$B$106:$M$106</definedName>
    <definedName name="套综工程地质条件" localSheetId="30">'[1]土地比较法-住宅、综合'!$B$125:$M$125</definedName>
    <definedName name="套综工程地质条件" localSheetId="24">'[1]土地比较法-住宅、综合'!$B$125:$M$125</definedName>
    <definedName name="套综工程地质条件">'土地比较法-住宅、综合'!$B$125:$M$125</definedName>
    <definedName name="套综交易情况" localSheetId="30">'[1]土地比较法-住宅、综合'!$A$73:$M$73</definedName>
    <definedName name="套综交易情况" localSheetId="24">'[1]土地比较法-住宅、综合'!$A$73:$M$73</definedName>
    <definedName name="套综交易情况">'土地比较法-住宅、综合'!$A$73:$M$73</definedName>
    <definedName name="套综临街宽度及深度" localSheetId="30">'[1]土地比较法-住宅、综合'!$B$121:$M$121</definedName>
    <definedName name="套综临街宽度及深度" localSheetId="24">'[1]土地比较法-住宅、综合'!$B$121:$M$121</definedName>
    <definedName name="套综临街宽度及深度">'土地比较法-住宅、综合'!$B$121:$M$121</definedName>
    <definedName name="套综土地级别" localSheetId="30">'[1]土地比较法-住宅、综合'!$B$108:$M$108</definedName>
    <definedName name="套综土地级别" localSheetId="24">'[1]土地比较法-住宅、综合'!$B$108:$M$108</definedName>
    <definedName name="套综土地级别">'土地比较法-住宅、综合'!$B$108:$M$108</definedName>
    <definedName name="套综用途" localSheetId="30">'[1]土地比较法-住宅、综合'!$B$75:$M$75</definedName>
    <definedName name="套综用途" localSheetId="24">'[1]土地比较法-住宅、综合'!$B$75:$M$75</definedName>
    <definedName name="套综用途">'土地比较法-住宅、综合'!$B$75:$M$75</definedName>
    <definedName name="套综宗地内开发程度" localSheetId="30">'[1]土地比较法-住宅、综合'!$B$123:$M$123</definedName>
    <definedName name="套综宗地内开发程度" localSheetId="24">'[1]土地比较法-住宅、综合'!$B$123:$M$123</definedName>
    <definedName name="套综宗地内开发程度">'土地比较法-住宅、综合'!$B$123:$M$123</definedName>
    <definedName name="套综宗地形状" localSheetId="30">'[1]土地比较法-住宅、综合'!$B$119:$M$119</definedName>
    <definedName name="套综宗地形状" localSheetId="24">'[1]土地比较法-住宅、综合'!$B$119:$M$119</definedName>
    <definedName name="套综宗地形状">'土地比较法-住宅、综合'!$B$119:$M$119</definedName>
    <definedName name="土地估价师">估价师及机构信息!$D$3:$D$24</definedName>
    <definedName name="土地级别" localSheetId="30">[1]定义!$C$1:$C$14</definedName>
    <definedName name="土地级别" localSheetId="24">[1]定义!$C$1:$C$14</definedName>
    <definedName name="土地级别">定义!$C$1:$C$14</definedName>
    <definedName name="土地利用方向">定义!$P$1:$P$6</definedName>
    <definedName name="土地年限区间" localSheetId="30">[1]定义!$I$1:$I$8</definedName>
    <definedName name="土地年限区间" localSheetId="24">[1]定义!$I$1:$I$8</definedName>
    <definedName name="土地年限区间">定义!$I$1:$I$8</definedName>
    <definedName name="位置" localSheetId="30">[1]定义!$E$2:$E$4</definedName>
    <definedName name="位置" localSheetId="24">[1]定义!$E$2:$E$4</definedName>
    <definedName name="位置">定义!$E$2:$E$4</definedName>
    <definedName name="五等判定" localSheetId="30">[1]定义!$W$1:$W$6</definedName>
    <definedName name="五等判定" localSheetId="24">[1]定义!$W$1:$W$6</definedName>
    <definedName name="五等判定">定义!$W$1:$W$6</definedName>
    <definedName name="五级">区片价!$L$1:$L$35</definedName>
    <definedName name="项目类型" localSheetId="30">'[1]数据-汇总表'!$C$17:$C$26</definedName>
    <definedName name="项目类型" localSheetId="24">'[1]数据-汇总表'!$C$17:$C$26</definedName>
    <definedName name="项目类型">'数据-汇总表'!$C$17:$C$26</definedName>
    <definedName name="写字楼等级" localSheetId="30">'比较法-办公 (租金)'!$B$113:$M$113</definedName>
    <definedName name="写字楼等级" localSheetId="24">'比较法-办公 (租金)'!$B$113:$M$113</definedName>
    <definedName name="写字楼等级">'比较法-办公'!$B$113:$M$113</definedName>
    <definedName name="一级">区片价!$H$1:$H$6</definedName>
    <definedName name="一修多修正项2" localSheetId="30">[1]典型户型修正!$5:$5</definedName>
    <definedName name="一修多修正项2" localSheetId="24">[1]典型户型修正!$5:$5</definedName>
    <definedName name="一修多修正项2">典型户型修正!$5:$5</definedName>
    <definedName name="一修多修正项3" localSheetId="30">[1]典型户型修正!$7:$7</definedName>
    <definedName name="一修多修正项3" localSheetId="24">[1]典型户型修正!$7:$7</definedName>
    <definedName name="一修多修正项3">典型户型修正!$7:$7</definedName>
    <definedName name="一修多修正项4" localSheetId="30">[1]典型户型修正!$9:$9</definedName>
    <definedName name="一修多修正项4" localSheetId="24">[1]典型户型修正!$9:$9</definedName>
    <definedName name="一修多修正项4">典型户型修正!$9:$9</definedName>
    <definedName name="一修多修正项5" localSheetId="30">[1]典型户型修正!$11:$11</definedName>
    <definedName name="一修多修正项5" localSheetId="24">[1]典型户型修正!$11:$11</definedName>
    <definedName name="一修多修正项5">典型户型修正!$11:$11</definedName>
    <definedName name="一修多修正项6" localSheetId="30">[1]典型户型修正!$13:$13</definedName>
    <definedName name="一修多修正项6" localSheetId="24">[1]典型户型修正!$13:$13</definedName>
    <definedName name="一修多修正项6">典型户型修正!$13:$13</definedName>
    <definedName name="一修多修正项7" localSheetId="30">[1]典型户型修正!$15:$15</definedName>
    <definedName name="一修多修正项7" localSheetId="24">[1]典型户型修正!$15:$15</definedName>
    <definedName name="一修多修正项7">典型户型修正!$15:$15</definedName>
    <definedName name="一修多修正项8" localSheetId="30">[1]典型户型修正!$17:$17</definedName>
    <definedName name="一修多修正项8" localSheetId="24">[1]典型户型修正!$17:$17</definedName>
    <definedName name="一修多修正项8">典型户型修正!$17:$17</definedName>
    <definedName name="用途明细" localSheetId="30">[1]定义!$A$1:$A$50</definedName>
    <definedName name="用途明细" localSheetId="24">[1]定义!$A$1:$A$50</definedName>
    <definedName name="用途明细">定义!$A$1:$A$50</definedName>
    <definedName name="有无电梯" localSheetId="30">'[1]比较法-仓储'!$B$84:$M$84</definedName>
    <definedName name="有无电梯" localSheetId="24">'[1]比较法-仓储'!$B$84:$M$84</definedName>
    <definedName name="有无电梯">'比较法-仓储'!$B$84:$M$84</definedName>
    <definedName name="主用途" localSheetId="30">[1]定义!$F$1:$F$10</definedName>
    <definedName name="主用途" localSheetId="24">[1]定义!$F$1:$F$10</definedName>
    <definedName name="主用途">定义!$F$1:$F$10</definedName>
    <definedName name="住宅朝向" localSheetId="30">'[1]比较法-住宅'!$B$88:$M$88</definedName>
    <definedName name="住宅朝向" localSheetId="33">'比较法-联排'!$B$88:$M$88</definedName>
    <definedName name="住宅朝向" localSheetId="24">'[1]比较法-住宅'!$B$88:$M$88</definedName>
    <definedName name="住宅朝向">'比较法-住宅'!$B$88:$M$88</definedName>
    <definedName name="住宅房型" localSheetId="30">'[1]比较法-住宅'!$B$118:$M$118</definedName>
    <definedName name="住宅房型" localSheetId="33">'比较法-联排'!$B$118:$M$118</definedName>
    <definedName name="住宅房型" localSheetId="24">'[1]比较法-住宅'!$B$118:$M$118</definedName>
    <definedName name="住宅房型">'比较法-住宅'!$B$118:$M$118</definedName>
    <definedName name="住宅公共部分装修" localSheetId="30">'[1]比较法-住宅'!$B$109:$M$109</definedName>
    <definedName name="住宅公共部分装修" localSheetId="33">'比较法-联排'!$B$109:$M$109</definedName>
    <definedName name="住宅公共部分装修" localSheetId="24">'[1]比较法-住宅'!$B$109:$M$109</definedName>
    <definedName name="住宅公共部分装修">'比较法-住宅'!$B$109:$M$109</definedName>
    <definedName name="住宅基础设施水平" localSheetId="30">'[1]比较法-住宅'!$B$116:$M$116</definedName>
    <definedName name="住宅基础设施水平" localSheetId="33">'比较法-联排'!$B$116:$M$116</definedName>
    <definedName name="住宅基础设施水平" localSheetId="24">'[1]比较法-住宅'!$B$116:$M$116</definedName>
    <definedName name="住宅基础设施水平">'比较法-住宅'!$B$116:$M$116</definedName>
    <definedName name="住宅建筑结构" localSheetId="30">'[1]比较法-住宅'!$B$105:$M$105</definedName>
    <definedName name="住宅建筑结构" localSheetId="33">'比较法-联排'!$B$105:$M$105</definedName>
    <definedName name="住宅建筑结构" localSheetId="24">'[1]比较法-住宅'!$B$105:$M$105</definedName>
    <definedName name="住宅建筑结构">'比较法-住宅'!$B$105:$M$105</definedName>
    <definedName name="住宅建筑类型" localSheetId="30">'[1]比较法-住宅'!$B$100:$M$100</definedName>
    <definedName name="住宅建筑类型" localSheetId="33">'比较法-联排'!$B$100:$M$100</definedName>
    <definedName name="住宅建筑类型" localSheetId="24">'[1]比较法-住宅'!$B$100:$M$100</definedName>
    <definedName name="住宅建筑类型">'比较法-住宅'!$B$100:$M$100</definedName>
    <definedName name="住宅建筑品质" localSheetId="30">'[1]比较法-住宅'!$B$107:$M$107</definedName>
    <definedName name="住宅建筑品质" localSheetId="33">'比较法-联排'!$B$107:$M$107</definedName>
    <definedName name="住宅建筑品质" localSheetId="24">'[1]比较法-住宅'!$B$107:$M$107</definedName>
    <definedName name="住宅建筑品质">'比较法-住宅'!$B$107:$M$107</definedName>
    <definedName name="住宅交易情况" localSheetId="30">'[1]比较法-住宅'!$A$61:$M$61</definedName>
    <definedName name="住宅交易情况" localSheetId="33">'比较法-联排'!$A$61:$M$61</definedName>
    <definedName name="住宅交易情况" localSheetId="24">'[1]比较法-住宅'!$A$61:$M$61</definedName>
    <definedName name="住宅交易情况">'比较法-住宅'!$A$61:$M$61</definedName>
    <definedName name="住宅楼层" localSheetId="30">'[1]比较法-住宅'!$B$86:$M$86</definedName>
    <definedName name="住宅楼层" localSheetId="33">'比较法-联排'!$B$86:$M$86</definedName>
    <definedName name="住宅楼层" localSheetId="24">'[1]比较法-住宅'!$B$86:$M$86</definedName>
    <definedName name="住宅楼层">'比较法-住宅'!$B$86:$M$86</definedName>
    <definedName name="住宅内部装修" localSheetId="30">'[1]比较法-住宅'!$B$122:$M$122</definedName>
    <definedName name="住宅内部装修" localSheetId="33">'比较法-联排'!$B$122:$M$122</definedName>
    <definedName name="住宅内部装修" localSheetId="24">'[1]比较法-住宅'!$B$122:$M$122</definedName>
    <definedName name="住宅内部装修">'比较法-住宅'!$B$122:$M$122</definedName>
    <definedName name="住宅物业管理" localSheetId="30">'[1]比较法-住宅'!$B$114:$M$114</definedName>
    <definedName name="住宅物业管理" localSheetId="33">'比较法-联排'!$B$114:$M$114</definedName>
    <definedName name="住宅物业管理" localSheetId="24">'[1]比较法-住宅'!$B$114:$M$114</definedName>
    <definedName name="住宅物业管理">'比较法-住宅'!$B$114:$M$114</definedName>
    <definedName name="住宅用途" localSheetId="30">'[1]比较法-住宅'!$B$63:$M$63</definedName>
    <definedName name="住宅用途" localSheetId="33">'比较法-联排'!$B$63:$M$63</definedName>
    <definedName name="住宅用途" localSheetId="24">'[1]比较法-住宅'!$B$63:$M$63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 localSheetId="30">[1]估价师及机构信息!$A$3:$A$24</definedName>
    <definedName name="注册房地产估价师" localSheetId="24">[1]估价师及机构信息!$A$3:$A$24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c r="F78" i="87" s="1"/>
  <c r="G78" i="87" s="1"/>
  <c r="D80" i="87"/>
  <c r="E80" i="87"/>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U3" i="81"/>
  <c r="T6" i="81"/>
  <c r="T5" i="81"/>
  <c r="T4" i="81"/>
  <c r="T3" i="81"/>
  <c r="S5" i="81"/>
  <c r="U5" i="81" s="1"/>
  <c r="S4" i="81"/>
  <c r="U4" i="81" s="1"/>
  <c r="R6" i="81"/>
  <c r="S6" i="81" s="1"/>
  <c r="U6" i="81" s="1"/>
  <c r="S3" i="81"/>
  <c r="D2" i="87"/>
  <c r="U7" i="81" l="1"/>
  <c r="AC21" i="87"/>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V7" i="81" l="1"/>
  <c r="D6" i="12" s="1"/>
  <c r="D8" i="12"/>
  <c r="W39" i="87"/>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E53" i="87"/>
  <c r="F53" i="87" s="1"/>
  <c r="E54" i="87"/>
  <c r="F54" i="87" s="1"/>
  <c r="B2" i="87" l="1"/>
  <c r="B3" i="87"/>
  <c r="P74" i="83" l="1"/>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J7" i="81"/>
  <c r="L6" i="81"/>
  <c r="L272" i="81" s="1"/>
  <c r="F20" i="6" s="1"/>
  <c r="L5" i="81"/>
  <c r="L4" i="81"/>
  <c r="L3" i="81"/>
  <c r="D29" i="43" l="1"/>
  <c r="L275" i="81"/>
  <c r="G21" i="6" s="1"/>
  <c r="D38" i="43" s="1"/>
  <c r="L273" i="81"/>
  <c r="G22" i="6"/>
  <c r="D33" i="43"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N1" i="80" l="1"/>
  <c r="M1" i="80"/>
  <c r="M2" i="80"/>
  <c r="N3"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AC17" i="3"/>
  <c r="H18" i="3"/>
  <c r="AC18" i="3"/>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K10" i="1" s="1"/>
  <c r="M10" i="1" s="1"/>
  <c r="O10" i="1" s="1"/>
  <c r="P10" i="1" s="1"/>
  <c r="A11" i="1"/>
  <c r="A12" i="1"/>
  <c r="A13" i="1"/>
  <c r="F3" i="35"/>
  <c r="B11" i="1"/>
  <c r="E11" i="1"/>
  <c r="B7" i="1"/>
  <c r="E7" i="1"/>
  <c r="B13" i="1"/>
  <c r="E13" i="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c r="H58" i="40"/>
  <c r="I58" i="40" s="1"/>
  <c r="C58" i="40" s="1"/>
  <c r="H57" i="40"/>
  <c r="I57" i="40"/>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23" i="1"/>
  <c r="D78" i="9"/>
  <c r="E19" i="6"/>
  <c r="K6" i="1" s="1"/>
  <c r="E20" i="6"/>
  <c r="E21" i="6"/>
  <c r="K8" i="1" s="1"/>
  <c r="M8" i="1" s="1"/>
  <c r="O8" i="1" s="1"/>
  <c r="P8" i="1" s="1"/>
  <c r="F23" i="15"/>
  <c r="D24" i="15"/>
  <c r="E22" i="6"/>
  <c r="K9" i="1" s="1"/>
  <c r="M9" i="1" s="1"/>
  <c r="E23" i="6"/>
  <c r="E24" i="6"/>
  <c r="E25" i="6"/>
  <c r="E26" i="6"/>
  <c r="BC10" i="3"/>
  <c r="BD10" i="3"/>
  <c r="BB10"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Q5" i="3"/>
  <c r="AC5" i="3"/>
  <c r="BS5" i="3"/>
  <c r="BP5" i="3"/>
  <c r="BN5" i="3"/>
  <c r="BK5" i="3"/>
  <c r="BI5" i="3"/>
  <c r="BG5" i="3"/>
  <c r="BE5" i="3"/>
  <c r="BC5" i="3"/>
  <c r="BT5" i="3"/>
  <c r="BB5" i="3"/>
  <c r="BR5" i="3"/>
  <c r="G28" i="6" s="1"/>
  <c r="E8" i="6"/>
  <c r="F27" i="6" s="1"/>
  <c r="U36" i="40"/>
  <c r="N4" i="43"/>
  <c r="F36" i="43"/>
  <c r="F81" i="43"/>
  <c r="H83" i="43" s="1"/>
  <c r="F48" i="43"/>
  <c r="H52" i="43" s="1"/>
  <c r="N7" i="43"/>
  <c r="F70" i="43"/>
  <c r="H73" i="43" s="1"/>
  <c r="M6" i="43"/>
  <c r="M11"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AQ12" i="1" s="1"/>
  <c r="R12" i="1"/>
  <c r="B12" i="1"/>
  <c r="E12" i="1"/>
  <c r="S10" i="1"/>
  <c r="AQ10" i="1" s="1"/>
  <c r="B10" i="1"/>
  <c r="E10" i="1" s="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F59" i="43" s="1"/>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55" i="43"/>
  <c r="H51" i="43"/>
  <c r="H56" i="43"/>
  <c r="H76" i="43"/>
  <c r="H72" i="43"/>
  <c r="H77" i="43"/>
  <c r="L20" i="6"/>
  <c r="E56" i="39"/>
  <c r="E51" i="40"/>
  <c r="B6" i="1"/>
  <c r="E6" i="1" s="1"/>
  <c r="K11" i="1"/>
  <c r="M11" i="1" s="1"/>
  <c r="O11" i="1" s="1"/>
  <c r="P11" i="1" s="1"/>
  <c r="AP6" i="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T11" i="1"/>
  <c r="P24" i="43"/>
  <c r="B66" i="40" s="1"/>
  <c r="T13" i="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AC23" i="33"/>
  <c r="H19" i="33"/>
  <c r="AB19" i="33" s="1"/>
  <c r="H17" i="33"/>
  <c r="U17" i="33" s="1"/>
  <c r="F17" i="33"/>
  <c r="AA17" i="33" s="1"/>
  <c r="W17" i="33"/>
  <c r="AC37" i="21"/>
  <c r="U33" i="21"/>
  <c r="S37" i="21"/>
  <c r="AA23" i="21"/>
  <c r="AB15" i="21"/>
  <c r="J23" i="21"/>
  <c r="F85" i="21"/>
  <c r="G85" i="21"/>
  <c r="H23" i="21"/>
  <c r="S13" i="21"/>
  <c r="D6" i="52"/>
  <c r="D121" i="9"/>
  <c r="D7" i="52"/>
  <c r="K120" i="9"/>
  <c r="P21" i="43"/>
  <c r="M20" i="43"/>
  <c r="C19" i="43" s="1"/>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S17" i="33"/>
  <c r="U23" i="21"/>
  <c r="AB23" i="21"/>
  <c r="AC23" i="21"/>
  <c r="W23" i="21"/>
  <c r="G59" i="34"/>
  <c r="H59" i="34" s="1"/>
  <c r="I59" i="34" s="1"/>
  <c r="H58" i="21"/>
  <c r="I58" i="21" s="1"/>
  <c r="J58" i="21"/>
  <c r="K58" i="21" s="1"/>
  <c r="L58" i="21" s="1"/>
  <c r="E63" i="40"/>
  <c r="D65" i="40"/>
  <c r="G39" i="43"/>
  <c r="I39" i="43" s="1"/>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F40" i="78"/>
  <c r="B7" i="76"/>
  <c r="J15" i="77"/>
  <c r="L48" i="78"/>
  <c r="M27" i="77"/>
  <c r="B9" i="76"/>
  <c r="M27" i="67"/>
  <c r="F13" i="77"/>
  <c r="D7" i="73"/>
  <c r="L48" i="77"/>
  <c r="D2" i="33"/>
  <c r="F40" i="67"/>
  <c r="M28" i="78"/>
  <c r="F38" i="77"/>
  <c r="M28" i="77"/>
  <c r="F42" i="78"/>
  <c r="F6" i="77"/>
  <c r="AO10" i="1"/>
  <c r="M6" i="78"/>
  <c r="F37" i="77"/>
  <c r="F40" i="77"/>
  <c r="F37" i="78"/>
  <c r="F26" i="77"/>
  <c r="F42" i="67"/>
  <c r="M24" i="67"/>
  <c r="F20" i="31"/>
  <c r="D34" i="9"/>
  <c r="M22" i="78"/>
  <c r="M22" i="77"/>
  <c r="F6" i="67"/>
  <c r="F9" i="77"/>
  <c r="M6" i="77"/>
  <c r="M22" i="67"/>
  <c r="F9" i="78"/>
  <c r="M23" i="78"/>
  <c r="F37" i="67"/>
  <c r="B12" i="76"/>
  <c r="F4" i="73"/>
  <c r="M8" i="67"/>
  <c r="D2" i="79"/>
  <c r="M26" i="67"/>
  <c r="M23" i="77"/>
  <c r="F36" i="78"/>
  <c r="F43" i="77"/>
  <c r="M9" i="67"/>
  <c r="F16" i="78"/>
  <c r="M26" i="78"/>
  <c r="M26" i="77"/>
  <c r="F8" i="78"/>
  <c r="M24" i="78"/>
  <c r="F36" i="67"/>
  <c r="D2" i="34"/>
  <c r="L47" i="78"/>
  <c r="D6" i="73"/>
  <c r="F5" i="73"/>
  <c r="M29" i="67"/>
  <c r="M6" i="67"/>
  <c r="C76" i="78"/>
  <c r="L47" i="67"/>
  <c r="F3" i="73"/>
  <c r="F43" i="67"/>
  <c r="AO12" i="1"/>
  <c r="D5" i="73"/>
  <c r="F7" i="77"/>
  <c r="F9" i="67"/>
  <c r="D35" i="9"/>
  <c r="M8" i="78"/>
  <c r="M28" i="67"/>
  <c r="F38" i="67"/>
  <c r="F16" i="77"/>
  <c r="D4" i="73"/>
  <c r="F26" i="78"/>
  <c r="AO9" i="1"/>
  <c r="D2" i="21"/>
  <c r="F16" i="67"/>
  <c r="M29" i="78"/>
  <c r="F6" i="73"/>
  <c r="E2" i="69"/>
  <c r="F7" i="78"/>
  <c r="E10" i="76"/>
  <c r="C76" i="67"/>
  <c r="M9" i="78"/>
  <c r="E9" i="76"/>
  <c r="J15" i="67"/>
  <c r="F13" i="78"/>
  <c r="E8" i="76"/>
  <c r="B13" i="76"/>
  <c r="M24" i="77"/>
  <c r="E13" i="76"/>
  <c r="E2" i="68"/>
  <c r="E7" i="76"/>
  <c r="D2" i="37"/>
  <c r="L48" i="67"/>
  <c r="J15" i="78"/>
  <c r="AO13" i="1"/>
  <c r="F13" i="67"/>
  <c r="F43" i="78"/>
  <c r="F7" i="73"/>
  <c r="F8" i="67"/>
  <c r="F38" i="78"/>
  <c r="E12" i="76"/>
  <c r="D2" i="35"/>
  <c r="F7" i="67"/>
  <c r="M23" i="67"/>
  <c r="M9" i="77"/>
  <c r="F6" i="78"/>
  <c r="E11" i="76"/>
  <c r="B10" i="76"/>
  <c r="F8" i="77"/>
  <c r="C76" i="77"/>
  <c r="D2" i="36"/>
  <c r="D3" i="73"/>
  <c r="M29" i="77"/>
  <c r="B8" i="76"/>
  <c r="M27" i="78"/>
  <c r="F42" i="77"/>
  <c r="L47" i="77"/>
  <c r="F26" i="67"/>
  <c r="M8" i="77"/>
  <c r="AO11" i="1"/>
  <c r="F36" i="77"/>
  <c r="B11" i="76"/>
  <c r="D113" i="80" l="1"/>
  <c r="G1" i="15"/>
  <c r="AR12" i="1"/>
  <c r="R10" i="1"/>
  <c r="BL13" i="3"/>
  <c r="BL5" i="3" s="1"/>
  <c r="G18" i="3"/>
  <c r="G17"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S25" i="33"/>
  <c r="U11" i="33"/>
  <c r="AC10" i="33"/>
  <c r="AC27" i="33"/>
  <c r="S26" i="33"/>
  <c r="W32"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D5"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F30" i="6"/>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L17" i="3"/>
  <c r="BA16" i="3"/>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G30" i="6"/>
  <c r="G31" i="6" s="1"/>
  <c r="E28" i="6"/>
  <c r="AZ35" i="3"/>
  <c r="AZ34" i="3"/>
  <c r="F31" i="6"/>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8" i="43"/>
  <c r="H50" i="43"/>
  <c r="H75" i="43"/>
  <c r="C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6" i="67"/>
  <c r="C6" i="67"/>
  <c r="C27" i="67"/>
  <c r="F68" i="67"/>
  <c r="F51" i="67"/>
  <c r="Q71" i="67"/>
  <c r="F71" i="67"/>
  <c r="B9" i="70"/>
  <c r="B11" i="70"/>
  <c r="B10" i="70"/>
  <c r="L58" i="77"/>
  <c r="N59" i="77"/>
  <c r="L59" i="77"/>
  <c r="M59" i="77"/>
  <c r="F68" i="77"/>
  <c r="M7" i="67"/>
  <c r="J6" i="67" s="1"/>
  <c r="F50" i="67"/>
  <c r="F65" i="67"/>
  <c r="I54" i="67"/>
  <c r="J57" i="67"/>
  <c r="J55" i="67" s="1"/>
  <c r="J58" i="67" s="1"/>
  <c r="Q50" i="67" s="1"/>
  <c r="L56" i="67"/>
  <c r="L58" i="67"/>
  <c r="L59" i="67"/>
  <c r="N59" i="67"/>
  <c r="M59" i="67"/>
  <c r="F70" i="67"/>
  <c r="F64" i="67"/>
  <c r="B13" i="70"/>
  <c r="B12" i="70"/>
  <c r="E20" i="43"/>
  <c r="L56" i="77"/>
  <c r="J57" i="77"/>
  <c r="J55" i="77" s="1"/>
  <c r="J58" i="77" s="1"/>
  <c r="Q50" i="77" s="1"/>
  <c r="I54" i="77"/>
  <c r="Q71" i="77"/>
  <c r="F66" i="77"/>
  <c r="F65" i="77"/>
  <c r="F64" i="77"/>
  <c r="M7" i="77"/>
  <c r="J6" i="77" s="1"/>
  <c r="F50" i="77"/>
  <c r="C6" i="77"/>
  <c r="C27" i="77"/>
  <c r="F71" i="77"/>
  <c r="L58" i="78"/>
  <c r="N59" i="78"/>
  <c r="M59" i="78"/>
  <c r="L59" i="78"/>
  <c r="F68" i="78"/>
  <c r="I1" i="73"/>
  <c r="B39" i="1" s="1"/>
  <c r="M7" i="78"/>
  <c r="J6" i="78" s="1"/>
  <c r="F50" i="78"/>
  <c r="C6" i="78"/>
  <c r="K1" i="73"/>
  <c r="F71" i="78"/>
  <c r="F51" i="77"/>
  <c r="I54" i="78"/>
  <c r="J57" i="78"/>
  <c r="J55" i="78" s="1"/>
  <c r="J58" i="78" s="1"/>
  <c r="Q50" i="78" s="1"/>
  <c r="L56" i="78"/>
  <c r="Q71" i="78"/>
  <c r="F66" i="78"/>
  <c r="F65" i="78"/>
  <c r="F64" i="78"/>
  <c r="F51" i="78"/>
  <c r="C27" i="78"/>
  <c r="M27" i="15"/>
  <c r="M29" i="15"/>
  <c r="F6" i="15"/>
  <c r="F13" i="15"/>
  <c r="F7" i="15"/>
  <c r="F36" i="15"/>
  <c r="M24" i="15"/>
  <c r="M27" i="83"/>
  <c r="F43" i="82"/>
  <c r="M22" i="83"/>
  <c r="M22" i="82"/>
  <c r="F38" i="83"/>
  <c r="M9" i="83"/>
  <c r="M24" i="82"/>
  <c r="L47" i="83"/>
  <c r="M26" i="83"/>
  <c r="F38" i="82"/>
  <c r="F42" i="82"/>
  <c r="M23" i="83"/>
  <c r="M29" i="83"/>
  <c r="M26" i="82"/>
  <c r="L48" i="82"/>
  <c r="C76" i="15"/>
  <c r="F9" i="15"/>
  <c r="L47" i="15"/>
  <c r="F38" i="15"/>
  <c r="J15" i="15"/>
  <c r="M22" i="15"/>
  <c r="F43" i="15"/>
  <c r="M8" i="83"/>
  <c r="F13" i="82"/>
  <c r="F8" i="83"/>
  <c r="M28" i="82"/>
  <c r="J15" i="83"/>
  <c r="F9" i="83"/>
  <c r="F26" i="82"/>
  <c r="F36" i="83"/>
  <c r="M6" i="83"/>
  <c r="F40" i="82"/>
  <c r="C16" i="77"/>
  <c r="F9" i="82"/>
  <c r="F16" i="83"/>
  <c r="C76" i="82"/>
  <c r="M8" i="15"/>
  <c r="M28" i="15"/>
  <c r="M26" i="15"/>
  <c r="F8" i="15"/>
  <c r="L48" i="15"/>
  <c r="F16" i="15"/>
  <c r="F7" i="83"/>
  <c r="M24" i="83"/>
  <c r="C16" i="67"/>
  <c r="M29" i="82"/>
  <c r="G1" i="73"/>
  <c r="L48" i="83"/>
  <c r="M8" i="82"/>
  <c r="L47" i="82"/>
  <c r="F13" i="83"/>
  <c r="F7" i="82"/>
  <c r="J15" i="82"/>
  <c r="F37" i="82"/>
  <c r="M9" i="82"/>
  <c r="F6" i="83"/>
  <c r="M27" i="82"/>
  <c r="M6" i="15"/>
  <c r="F40" i="15"/>
  <c r="F42" i="15"/>
  <c r="F26" i="15"/>
  <c r="M9" i="15"/>
  <c r="M23" i="15"/>
  <c r="F37" i="15"/>
  <c r="F42" i="83"/>
  <c r="C76" i="83"/>
  <c r="F26" i="83"/>
  <c r="F8" i="82"/>
  <c r="F43" i="83"/>
  <c r="F37" i="83"/>
  <c r="F36" i="82"/>
  <c r="C16" i="78"/>
  <c r="F40" i="83"/>
  <c r="F16" i="82"/>
  <c r="M6" i="82"/>
  <c r="M23" i="82"/>
  <c r="M28" i="83"/>
  <c r="F6" i="82"/>
  <c r="F71" i="15" l="1"/>
  <c r="F65" i="15"/>
  <c r="F64" i="15"/>
  <c r="J57" i="15"/>
  <c r="J55" i="15" s="1"/>
  <c r="J58" i="15" s="1"/>
  <c r="Q50" i="15" s="1"/>
  <c r="J53" i="15"/>
  <c r="Q52" i="15" s="1"/>
  <c r="I54" i="15"/>
  <c r="M7" i="15"/>
  <c r="F50" i="15"/>
  <c r="F51" i="15"/>
  <c r="F66" i="15"/>
  <c r="C27" i="15"/>
  <c r="M59" i="15"/>
  <c r="L58" i="15"/>
  <c r="Q73" i="15" s="1"/>
  <c r="L59" i="15"/>
  <c r="Q74" i="15" s="1"/>
  <c r="N59" i="15"/>
  <c r="C6" i="15"/>
  <c r="F68" i="15"/>
  <c r="Q71" i="15"/>
  <c r="AZ17" i="3"/>
  <c r="AZ16" i="3"/>
  <c r="AA32" i="33"/>
  <c r="S32" i="33"/>
  <c r="AC25" i="33"/>
  <c r="AC36" i="33"/>
  <c r="W36" i="33"/>
  <c r="AB36" i="33"/>
  <c r="T48" i="33" s="1"/>
  <c r="G48" i="33" s="1"/>
  <c r="G52" i="33" s="1"/>
  <c r="H52" i="33" s="1"/>
  <c r="U36" i="33"/>
  <c r="AA36" i="33"/>
  <c r="S36" i="33"/>
  <c r="C30" i="68"/>
  <c r="C48" i="69"/>
  <c r="C30" i="69"/>
  <c r="C48" i="11"/>
  <c r="C30" i="11"/>
  <c r="G5" i="3"/>
  <c r="B3" i="3" s="1"/>
  <c r="E69" i="3" s="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C49" i="82" s="1"/>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F11" i="83"/>
  <c r="M11" i="83"/>
  <c r="F11" i="82"/>
  <c r="M11" i="82"/>
  <c r="J10" i="82" s="1"/>
  <c r="J5" i="82" s="1"/>
  <c r="K4" i="4"/>
  <c r="B46" i="48" s="1"/>
  <c r="B4" i="72" s="1"/>
  <c r="F27" i="11"/>
  <c r="C47" i="11" s="1"/>
  <c r="D45" i="11" s="1"/>
  <c r="BA5" i="3"/>
  <c r="E27" i="6" s="1"/>
  <c r="K24" i="6" s="1"/>
  <c r="M24" i="6" s="1"/>
  <c r="I24" i="6" s="1"/>
  <c r="S24" i="6" s="1"/>
  <c r="E263" i="3"/>
  <c r="AI6" i="3"/>
  <c r="E361" i="3"/>
  <c r="C29" i="68"/>
  <c r="D27" i="68" s="1"/>
  <c r="C47" i="68"/>
  <c r="D45" i="68" s="1"/>
  <c r="E60" i="40"/>
  <c r="E65" i="39"/>
  <c r="E423" i="3"/>
  <c r="E569" i="3"/>
  <c r="E347" i="3"/>
  <c r="E528" i="3"/>
  <c r="E245" i="3"/>
  <c r="E382" i="3"/>
  <c r="E578" i="3"/>
  <c r="E518" i="3"/>
  <c r="E151" i="3"/>
  <c r="E396" i="3"/>
  <c r="E516" i="3"/>
  <c r="N6" i="3"/>
  <c r="E553" i="3"/>
  <c r="E125" i="3"/>
  <c r="E503" i="3"/>
  <c r="E183" i="3"/>
  <c r="E261" i="3"/>
  <c r="F27" i="69"/>
  <c r="F28" i="12"/>
  <c r="C29" i="12" s="1"/>
  <c r="D28" i="12" s="1"/>
  <c r="E99" i="3"/>
  <c r="E159" i="3"/>
  <c r="E301" i="3"/>
  <c r="E303" i="3"/>
  <c r="E350" i="3"/>
  <c r="E402" i="3"/>
  <c r="E586" i="3"/>
  <c r="AN6" i="3"/>
  <c r="E495" i="3"/>
  <c r="E353" i="3"/>
  <c r="E201" i="3"/>
  <c r="E247" i="3"/>
  <c r="E431" i="3"/>
  <c r="E579" i="3"/>
  <c r="E509" i="3"/>
  <c r="AJ6" i="3"/>
  <c r="E322" i="3"/>
  <c r="E268" i="3"/>
  <c r="E526" i="3"/>
  <c r="E217" i="3"/>
  <c r="E583" i="3"/>
  <c r="E302" i="3"/>
  <c r="E17" i="3"/>
  <c r="E213" i="3"/>
  <c r="E565" i="3"/>
  <c r="E304" i="3"/>
  <c r="E237"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53" i="3"/>
  <c r="E539" i="3"/>
  <c r="E329" i="3"/>
  <c r="E535" i="3"/>
  <c r="E550" i="3"/>
  <c r="E445" i="3"/>
  <c r="E260" i="3"/>
  <c r="E172" i="3"/>
  <c r="E395" i="3"/>
  <c r="E563" i="3"/>
  <c r="E415" i="3"/>
  <c r="E278" i="3"/>
  <c r="E114"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AZ5" i="3"/>
  <c r="K21" i="6"/>
  <c r="E30" i="6"/>
  <c r="K14" i="1"/>
  <c r="F10" i="40"/>
  <c r="S10" i="40" s="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4" i="43"/>
  <c r="M107" i="43"/>
  <c r="M105" i="43"/>
  <c r="M109" i="43"/>
  <c r="M102" i="43"/>
  <c r="M103" i="43"/>
  <c r="M106" i="43"/>
  <c r="N103" i="43"/>
  <c r="N106" i="43"/>
  <c r="N107" i="43"/>
  <c r="N109" i="43"/>
  <c r="N102" i="43"/>
  <c r="N105" i="43"/>
  <c r="N104" i="43"/>
  <c r="K107" i="43"/>
  <c r="K104" i="43"/>
  <c r="K106" i="43"/>
  <c r="K109" i="43"/>
  <c r="K103" i="43"/>
  <c r="K102" i="43"/>
  <c r="K105" i="43"/>
  <c r="H107" i="43"/>
  <c r="H106" i="43"/>
  <c r="H103" i="43"/>
  <c r="H105" i="43"/>
  <c r="H109" i="43"/>
  <c r="H102" i="43"/>
  <c r="H104" i="43"/>
  <c r="C104" i="43"/>
  <c r="C106" i="43"/>
  <c r="C105" i="43"/>
  <c r="C102" i="43"/>
  <c r="C107" i="43"/>
  <c r="C103" i="43"/>
  <c r="C109" i="43"/>
  <c r="B115" i="43"/>
  <c r="C115" i="43" s="1"/>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D22" i="43"/>
  <c r="F107" i="43"/>
  <c r="F106" i="43"/>
  <c r="F103" i="43"/>
  <c r="F109" i="43"/>
  <c r="F104" i="43"/>
  <c r="F102" i="43"/>
  <c r="F105" i="43"/>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49" i="78"/>
  <c r="C49" i="77"/>
  <c r="Q73" i="78"/>
  <c r="Q60" i="78"/>
  <c r="F1" i="15"/>
  <c r="L56" i="15"/>
  <c r="Q61" i="67"/>
  <c r="Q74" i="67"/>
  <c r="Q60" i="15"/>
  <c r="C49" i="67"/>
  <c r="J6" i="15"/>
  <c r="F11" i="78"/>
  <c r="F11" i="77"/>
  <c r="M11" i="78"/>
  <c r="J10" i="78" s="1"/>
  <c r="J5" i="78" s="1"/>
  <c r="F11" i="67"/>
  <c r="F11" i="15"/>
  <c r="M11" i="77"/>
  <c r="J10" i="77" s="1"/>
  <c r="J5" i="77" s="1"/>
  <c r="M11" i="15"/>
  <c r="M11" i="67"/>
  <c r="J10" i="67" s="1"/>
  <c r="J5" i="67" s="1"/>
  <c r="Q61" i="78"/>
  <c r="Q74" i="78"/>
  <c r="O17" i="43"/>
  <c r="P17" i="43"/>
  <c r="N17" i="43"/>
  <c r="M17" i="43"/>
  <c r="Q73" i="67"/>
  <c r="Q60" i="67"/>
  <c r="Q61" i="77"/>
  <c r="Q74" i="77"/>
  <c r="Q73" i="77"/>
  <c r="Q60" i="77"/>
  <c r="AE8" i="1"/>
  <c r="C16" i="15"/>
  <c r="C16" i="83"/>
  <c r="C16" i="82"/>
  <c r="C49" i="15" l="1"/>
  <c r="J10" i="15"/>
  <c r="J5" i="15" s="1"/>
  <c r="Q61" i="15"/>
  <c r="E282" i="3"/>
  <c r="E385" i="3"/>
  <c r="E191" i="3"/>
  <c r="E239" i="3"/>
  <c r="E366" i="3"/>
  <c r="E229" i="3"/>
  <c r="R48" i="33"/>
  <c r="R49" i="33" s="1"/>
  <c r="V48" i="33"/>
  <c r="I48" i="33" s="1"/>
  <c r="G53" i="33" s="1"/>
  <c r="H53" i="33" s="1"/>
  <c r="E48" i="33"/>
  <c r="G20" i="43"/>
  <c r="C20" i="43" s="1"/>
  <c r="C39" i="43" s="1"/>
  <c r="E39" i="43" s="1"/>
  <c r="C29" i="11"/>
  <c r="D27" i="11" s="1"/>
  <c r="K19" i="6"/>
  <c r="S6" i="1" s="1"/>
  <c r="E31" i="6"/>
  <c r="K26" i="6"/>
  <c r="M26" i="6" s="1"/>
  <c r="I26" i="6" s="1"/>
  <c r="S26" i="6" s="1"/>
  <c r="K25" i="6"/>
  <c r="M25" i="6" s="1"/>
  <c r="I25" i="6" s="1"/>
  <c r="S25" i="6" s="1"/>
  <c r="K22" i="6"/>
  <c r="K20" i="6"/>
  <c r="K23" i="6"/>
  <c r="M23" i="6" s="1"/>
  <c r="I23" i="6" s="1"/>
  <c r="S23" i="6" s="1"/>
  <c r="M21" i="6"/>
  <c r="I21" i="6" s="1"/>
  <c r="S21" i="6" s="1"/>
  <c r="S8" i="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C6" i="3"/>
  <c r="AA10" i="40"/>
  <c r="C29" i="69"/>
  <c r="D27" i="69" s="1"/>
  <c r="C47" i="69"/>
  <c r="D45" i="69" s="1"/>
  <c r="H6" i="3"/>
  <c r="E6" i="3" s="1"/>
  <c r="M14" i="1"/>
  <c r="O14" i="1" s="1"/>
  <c r="K16" i="1"/>
  <c r="C34" i="69"/>
  <c r="E3" i="6"/>
  <c r="AY6" i="3"/>
  <c r="D113" i="43"/>
  <c r="J22" i="43" s="1"/>
  <c r="S5" i="43"/>
  <c r="S4" i="43"/>
  <c r="S2" i="43"/>
  <c r="S6" i="43"/>
  <c r="C23" i="43"/>
  <c r="C21" i="43" s="1"/>
  <c r="S7" i="43"/>
  <c r="S3" i="43"/>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26" i="80"/>
  <c r="B2" i="80" s="1"/>
  <c r="B3" i="80" s="1"/>
  <c r="J18" i="67"/>
  <c r="J24" i="67"/>
  <c r="J26" i="67"/>
  <c r="J26" i="77"/>
  <c r="J24" i="77"/>
  <c r="J18" i="77"/>
  <c r="C53" i="15"/>
  <c r="C48" i="15" s="1"/>
  <c r="C10" i="15"/>
  <c r="C5" i="15" s="1"/>
  <c r="C10" i="78"/>
  <c r="C5" i="78" s="1"/>
  <c r="C53" i="78"/>
  <c r="C48" i="78" s="1"/>
  <c r="C10" i="67"/>
  <c r="C5" i="67" s="1"/>
  <c r="C53" i="67"/>
  <c r="C48" i="67" s="1"/>
  <c r="C10" i="77"/>
  <c r="C5" i="77" s="1"/>
  <c r="C53" i="77"/>
  <c r="C48" i="77" s="1"/>
  <c r="J26" i="78"/>
  <c r="J24" i="78"/>
  <c r="J18" i="78"/>
  <c r="F24" i="77"/>
  <c r="C24" i="77" s="1"/>
  <c r="F24" i="78"/>
  <c r="C24" i="78" s="1"/>
  <c r="F25" i="12"/>
  <c r="F24" i="67"/>
  <c r="C24" i="67" s="1"/>
  <c r="F22" i="68"/>
  <c r="F24" i="15"/>
  <c r="C24" i="15" s="1"/>
  <c r="F22" i="11"/>
  <c r="F22" i="69"/>
  <c r="AE7" i="1"/>
  <c r="F41" i="78"/>
  <c r="F41" i="15"/>
  <c r="AE6" i="1"/>
  <c r="C17" i="15"/>
  <c r="F41" i="67"/>
  <c r="F41" i="77"/>
  <c r="C17" i="82"/>
  <c r="F69" i="78" l="1"/>
  <c r="F69" i="77"/>
  <c r="F69" i="67"/>
  <c r="J29" i="67"/>
  <c r="J29" i="78"/>
  <c r="J29" i="77"/>
  <c r="F69" i="15"/>
  <c r="K27" i="6"/>
  <c r="I52" i="33"/>
  <c r="J52" i="33" s="1"/>
  <c r="I53" i="33"/>
  <c r="J53" i="33" s="1"/>
  <c r="C48" i="33"/>
  <c r="C49" i="33"/>
  <c r="E53" i="33"/>
  <c r="F53" i="33" s="1"/>
  <c r="E52" i="33"/>
  <c r="F52" i="33" s="1"/>
  <c r="E8" i="70"/>
  <c r="T6" i="1"/>
  <c r="E6" i="70"/>
  <c r="P14" i="1"/>
  <c r="P16" i="1" s="1"/>
  <c r="C11" i="12" s="1"/>
  <c r="O16" i="1"/>
  <c r="T7" i="43"/>
  <c r="V7" i="43" s="1"/>
  <c r="T6" i="43"/>
  <c r="V6" i="43" s="1"/>
  <c r="T4" i="43"/>
  <c r="V4" i="43" s="1"/>
  <c r="T12" i="43"/>
  <c r="V12" i="43" s="1"/>
  <c r="C37" i="43"/>
  <c r="T14" i="43"/>
  <c r="V14" i="43" s="1"/>
  <c r="C38" i="43"/>
  <c r="E38" i="43" s="1"/>
  <c r="C35" i="43"/>
  <c r="G35" i="43" s="1"/>
  <c r="I35" i="43" s="1"/>
  <c r="C34" i="43"/>
  <c r="E34" i="43" s="1"/>
  <c r="T16" i="43"/>
  <c r="V16" i="43" s="1"/>
  <c r="T3" i="43"/>
  <c r="V3" i="43" s="1"/>
  <c r="T2" i="43"/>
  <c r="V2" i="43" s="1"/>
  <c r="T5" i="43"/>
  <c r="V5" i="43" s="1"/>
  <c r="T11" i="43"/>
  <c r="V11" i="43" s="1"/>
  <c r="T15" i="43"/>
  <c r="V15" i="43" s="1"/>
  <c r="T8" i="43"/>
  <c r="V8" i="43" s="1"/>
  <c r="C33" i="43"/>
  <c r="G33" i="43" s="1"/>
  <c r="I33" i="43" s="1"/>
  <c r="T10" i="43"/>
  <c r="V10" i="43" s="1"/>
  <c r="C36" i="43"/>
  <c r="E36" i="43" s="1"/>
  <c r="T13" i="43"/>
  <c r="V13" i="43" s="1"/>
  <c r="T9" i="43"/>
  <c r="V9" i="43" s="1"/>
  <c r="E35" i="43"/>
  <c r="C48" i="83"/>
  <c r="C66" i="83" s="1"/>
  <c r="AR6" i="1"/>
  <c r="M19" i="6"/>
  <c r="AQ6" i="1"/>
  <c r="J24" i="83"/>
  <c r="AR8" i="1"/>
  <c r="AQ8" i="1"/>
  <c r="T8" i="1"/>
  <c r="M22" i="6"/>
  <c r="I22" i="6" s="1"/>
  <c r="S22" i="6" s="1"/>
  <c r="S9" i="1"/>
  <c r="M20" i="6"/>
  <c r="I20" i="6" s="1"/>
  <c r="S20" i="6" s="1"/>
  <c r="S7" i="1"/>
  <c r="J18" i="83"/>
  <c r="C38" i="83"/>
  <c r="C32" i="83"/>
  <c r="C24" i="83"/>
  <c r="C38" i="82"/>
  <c r="C32" i="82"/>
  <c r="C66" i="82"/>
  <c r="C60" i="82"/>
  <c r="D3" i="79"/>
  <c r="M18" i="9"/>
  <c r="B118" i="9" s="1"/>
  <c r="B14" i="74" s="1"/>
  <c r="B1" i="74" s="1"/>
  <c r="D3" i="21"/>
  <c r="E6" i="6"/>
  <c r="C17" i="4"/>
  <c r="B4" i="52" s="1"/>
  <c r="B43" i="72" s="1"/>
  <c r="L18" i="9"/>
  <c r="D3" i="37"/>
  <c r="D3" i="34"/>
  <c r="D19" i="11"/>
  <c r="C19" i="11" s="1"/>
  <c r="C24" i="11" s="1"/>
  <c r="D14" i="12"/>
  <c r="D3" i="33"/>
  <c r="B2" i="33" s="1"/>
  <c r="B3" i="33" s="1"/>
  <c r="D37" i="11"/>
  <c r="C35" i="69"/>
  <c r="C38" i="69"/>
  <c r="M16" i="1"/>
  <c r="N16" i="1"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27" i="3"/>
  <c r="AY373" i="3"/>
  <c r="AY507" i="3"/>
  <c r="AY88" i="3"/>
  <c r="AY29" i="3"/>
  <c r="AY161" i="3"/>
  <c r="AY275" i="3"/>
  <c r="AY215" i="3"/>
  <c r="AY341" i="3"/>
  <c r="AY324" i="3"/>
  <c r="AY480" i="3"/>
  <c r="AY438" i="3"/>
  <c r="AY419" i="3"/>
  <c r="AY580" i="3"/>
  <c r="AY536" i="3"/>
  <c r="AY552" i="3"/>
  <c r="AY532" i="3"/>
  <c r="AY523" i="3"/>
  <c r="AY64" i="3"/>
  <c r="AY174" i="3"/>
  <c r="AY113" i="3"/>
  <c r="AY250" i="3"/>
  <c r="AY385" i="3"/>
  <c r="AY352" i="3"/>
  <c r="AY321" i="3"/>
  <c r="AY336" i="3"/>
  <c r="AY304" i="3"/>
  <c r="AY492" i="3"/>
  <c r="AY461" i="3"/>
  <c r="AY450" i="3"/>
  <c r="AY418" i="3"/>
  <c r="AY431" i="3"/>
  <c r="AY399" i="3"/>
  <c r="AY17" i="3"/>
  <c r="AY564" i="3"/>
  <c r="AY502" i="3"/>
  <c r="AY509" i="3"/>
  <c r="BR6" i="3"/>
  <c r="AY531" i="3"/>
  <c r="BA6" i="3"/>
  <c r="AY94" i="3"/>
  <c r="AY78" i="3"/>
  <c r="AY35"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84" i="3"/>
  <c r="AY368" i="3"/>
  <c r="BB6" i="3"/>
  <c r="AY72" i="3"/>
  <c r="AY181" i="3"/>
  <c r="AY121" i="3"/>
  <c r="AY258" i="3"/>
  <c r="AY370" i="3"/>
  <c r="AY309" i="3"/>
  <c r="AY483" i="3"/>
  <c r="AY449" i="3"/>
  <c r="AY406" i="3"/>
  <c r="AY503" i="3"/>
  <c r="AY572" i="3"/>
  <c r="AY520" i="3"/>
  <c r="AY543" i="3"/>
  <c r="AY496" i="3"/>
  <c r="AY81" i="3"/>
  <c r="AY21" i="3"/>
  <c r="AY153" i="3"/>
  <c r="AY267" i="3"/>
  <c r="AY396" i="3"/>
  <c r="AY361" i="3"/>
  <c r="AY337" i="3"/>
  <c r="AY305" i="3"/>
  <c r="AY320" i="3"/>
  <c r="AY479" i="3"/>
  <c r="AY476" i="3"/>
  <c r="AY445" i="3"/>
  <c r="AY434" i="3"/>
  <c r="AY402" i="3"/>
  <c r="AY415" i="3"/>
  <c r="AY505" i="3"/>
  <c r="AY538" i="3"/>
  <c r="AY524" i="3"/>
  <c r="AY565" i="3"/>
  <c r="AY542" i="3"/>
  <c r="AY570" i="3"/>
  <c r="AY578" i="3"/>
  <c r="AY99" i="3"/>
  <c r="AY63" i="3"/>
  <c r="AY46"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C29" i="4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11"/>
  <c r="D22" i="11" s="1"/>
  <c r="C44" i="11"/>
  <c r="D41" i="11" s="1"/>
  <c r="C23" i="11"/>
  <c r="C26" i="68"/>
  <c r="D22" i="68" s="1"/>
  <c r="C44" i="68"/>
  <c r="D41" i="68" s="1"/>
  <c r="C26" i="12"/>
  <c r="D25" i="12" s="1"/>
  <c r="C32" i="77"/>
  <c r="C38" i="77"/>
  <c r="C38" i="67"/>
  <c r="C32" i="67"/>
  <c r="C32" i="78"/>
  <c r="C38" i="78"/>
  <c r="C60" i="15"/>
  <c r="C66" i="15"/>
  <c r="C17" i="77"/>
  <c r="C17" i="67"/>
  <c r="C14" i="82"/>
  <c r="C17" i="83"/>
  <c r="F41" i="83"/>
  <c r="C14" i="15"/>
  <c r="C14" i="67"/>
  <c r="C17" i="78"/>
  <c r="F41" i="82"/>
  <c r="M27" i="6" l="1"/>
  <c r="C15" i="67"/>
  <c r="C18" i="67"/>
  <c r="J29" i="82"/>
  <c r="F69" i="82"/>
  <c r="J29" i="83"/>
  <c r="F69" i="83"/>
  <c r="C18" i="15"/>
  <c r="C15" i="15"/>
  <c r="C15" i="82"/>
  <c r="C18" i="82"/>
  <c r="S16" i="1"/>
  <c r="E7" i="70"/>
  <c r="E2" i="70" s="1"/>
  <c r="C12" i="12"/>
  <c r="C15" i="12"/>
  <c r="G36" i="43"/>
  <c r="I36" i="43" s="1"/>
  <c r="G34" i="43"/>
  <c r="I34" i="43" s="1"/>
  <c r="G38" i="43"/>
  <c r="I38" i="43" s="1"/>
  <c r="E33" i="43"/>
  <c r="G37" i="43"/>
  <c r="I37" i="43" s="1"/>
  <c r="E37" i="43"/>
  <c r="F34" i="11"/>
  <c r="C36" i="11" s="1"/>
  <c r="F34" i="68"/>
  <c r="C36" i="68" s="1"/>
  <c r="F11" i="12"/>
  <c r="C14" i="12" s="1"/>
  <c r="C60" i="83"/>
  <c r="B2" i="34"/>
  <c r="B3" i="34" s="1"/>
  <c r="T7" i="1"/>
  <c r="AR7" i="1"/>
  <c r="AQ7" i="1"/>
  <c r="T9" i="1"/>
  <c r="AR9" i="1"/>
  <c r="AQ9" i="1"/>
  <c r="B2" i="79"/>
  <c r="B3" i="79" s="1"/>
  <c r="J59" i="82"/>
  <c r="J60" i="82" s="1"/>
  <c r="F50" i="68"/>
  <c r="F50" i="11"/>
  <c r="F50" i="69"/>
  <c r="M19" i="9"/>
  <c r="C118" i="9" s="1"/>
  <c r="C14" i="74" s="1"/>
  <c r="B2" i="74" s="1"/>
  <c r="D19" i="6"/>
  <c r="D26" i="6"/>
  <c r="C18" i="4"/>
  <c r="D8" i="6"/>
  <c r="D23" i="6"/>
  <c r="D14" i="6"/>
  <c r="D5" i="6"/>
  <c r="D12" i="6"/>
  <c r="D11" i="6"/>
  <c r="D13" i="6"/>
  <c r="D28" i="6"/>
  <c r="E61" i="40"/>
  <c r="H20" i="6"/>
  <c r="D25" i="6"/>
  <c r="D15" i="6"/>
  <c r="D22" i="6"/>
  <c r="D21" i="6"/>
  <c r="D24" i="6"/>
  <c r="D20" i="6"/>
  <c r="R20" i="6" s="1"/>
  <c r="R7" i="1" s="1"/>
  <c r="D6" i="6"/>
  <c r="D9" i="6"/>
  <c r="D10" i="6"/>
  <c r="L19" i="9"/>
  <c r="D29" i="6"/>
  <c r="H19" i="6"/>
  <c r="H23" i="6"/>
  <c r="H22" i="6"/>
  <c r="H26" i="6"/>
  <c r="R26" i="6" s="1"/>
  <c r="H25" i="6"/>
  <c r="H21" i="6"/>
  <c r="H24" i="6"/>
  <c r="D17" i="12"/>
  <c r="C17" i="12" s="1"/>
  <c r="D10" i="68"/>
  <c r="D10" i="69"/>
  <c r="D20" i="12"/>
  <c r="C20" i="12" s="1"/>
  <c r="C18" i="12" s="1"/>
  <c r="D10" i="11"/>
  <c r="C10" i="11" s="1"/>
  <c r="C8" i="74"/>
  <c r="C7" i="74"/>
  <c r="S19" i="6"/>
  <c r="S27" i="6" s="1"/>
  <c r="I27" i="6"/>
  <c r="L16" i="1"/>
  <c r="C34" i="11"/>
  <c r="C20" i="11"/>
  <c r="C25" i="11" s="1"/>
  <c r="C22" i="11" s="1"/>
  <c r="E29" i="43"/>
  <c r="C30" i="43"/>
  <c r="E30" i="43"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B2" i="21" s="1"/>
  <c r="B3" i="21" s="1"/>
  <c r="W7" i="37"/>
  <c r="AC7" i="37"/>
  <c r="V42" i="37" s="1"/>
  <c r="I42" i="37" s="1"/>
  <c r="AA7" i="37"/>
  <c r="R42" i="37" s="1"/>
  <c r="S7" i="37"/>
  <c r="I46" i="40"/>
  <c r="J46" i="40" s="1"/>
  <c r="J59" i="78"/>
  <c r="J60" i="78" s="1"/>
  <c r="J59" i="15"/>
  <c r="J60" i="15" s="1"/>
  <c r="J59" i="77"/>
  <c r="J60" i="77" s="1"/>
  <c r="C14" i="78"/>
  <c r="M21" i="83"/>
  <c r="F35" i="83"/>
  <c r="C14" i="77"/>
  <c r="C14" i="83"/>
  <c r="C19" i="67" l="1"/>
  <c r="C20" i="67" s="1"/>
  <c r="C26" i="67" s="1"/>
  <c r="C15" i="77"/>
  <c r="C18" i="77"/>
  <c r="C15" i="78"/>
  <c r="C18" i="78"/>
  <c r="C26" i="43"/>
  <c r="C7" i="68" s="1"/>
  <c r="C5" i="68" s="1"/>
  <c r="C23" i="68" s="1"/>
  <c r="C19" i="15"/>
  <c r="C27" i="43"/>
  <c r="C16" i="12"/>
  <c r="C21" i="12" s="1"/>
  <c r="C22" i="12" s="1"/>
  <c r="C19" i="82"/>
  <c r="C20" i="82" s="1"/>
  <c r="C26" i="82" s="1"/>
  <c r="C15" i="83"/>
  <c r="C18" i="83"/>
  <c r="C20" i="15"/>
  <c r="C26" i="15" s="1"/>
  <c r="C34" i="68"/>
  <c r="C38" i="68" s="1"/>
  <c r="C37" i="11"/>
  <c r="F63" i="83"/>
  <c r="C62" i="83" s="1"/>
  <c r="C34" i="83"/>
  <c r="J20" i="83"/>
  <c r="T16" i="1"/>
  <c r="J59" i="83"/>
  <c r="J60" i="83" s="1"/>
  <c r="Q48" i="82"/>
  <c r="J59" i="67"/>
  <c r="J60" i="67" s="1"/>
  <c r="Q48" i="67" s="1"/>
  <c r="R24" i="6"/>
  <c r="R25" i="6"/>
  <c r="R22" i="6"/>
  <c r="R9" i="1" s="1"/>
  <c r="D16" i="6"/>
  <c r="D30" i="6"/>
  <c r="D27" i="6"/>
  <c r="C28" i="11"/>
  <c r="C27" i="11" s="1"/>
  <c r="C31" i="11" s="1"/>
  <c r="C35" i="11"/>
  <c r="C38" i="11"/>
  <c r="C10" i="68"/>
  <c r="D19" i="68"/>
  <c r="R21" i="6"/>
  <c r="R8" i="1" s="1"/>
  <c r="R23" i="6"/>
  <c r="D7" i="74"/>
  <c r="D8" i="74"/>
  <c r="D19" i="69"/>
  <c r="C10" i="69"/>
  <c r="C8" i="69" s="1"/>
  <c r="C5" i="69" s="1"/>
  <c r="R19" i="6"/>
  <c r="H27" i="6"/>
  <c r="A7" i="51"/>
  <c r="B7" i="72" s="1"/>
  <c r="A10" i="51"/>
  <c r="B9" i="72" s="1"/>
  <c r="C4" i="52"/>
  <c r="B45" i="72"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Q48" i="15"/>
  <c r="Q48" i="78"/>
  <c r="M21" i="15"/>
  <c r="E6" i="76"/>
  <c r="F35" i="15"/>
  <c r="C23" i="67" l="1"/>
  <c r="C29" i="67" s="1"/>
  <c r="J19" i="67" s="1"/>
  <c r="C19" i="78"/>
  <c r="C20" i="78" s="1"/>
  <c r="C26" i="78" s="1"/>
  <c r="C19" i="77"/>
  <c r="C20" i="77" s="1"/>
  <c r="C26" i="77" s="1"/>
  <c r="B2" i="43"/>
  <c r="B3" i="43" s="1"/>
  <c r="C23" i="78"/>
  <c r="C29" i="78" s="1"/>
  <c r="C36" i="78" s="1"/>
  <c r="C19" i="83"/>
  <c r="C20" i="83" s="1"/>
  <c r="C26" i="83" s="1"/>
  <c r="E2" i="76"/>
  <c r="C23" i="82"/>
  <c r="C29" i="82" s="1"/>
  <c r="C57" i="82" s="1"/>
  <c r="C35" i="68"/>
  <c r="C23" i="15"/>
  <c r="C29" i="15" s="1"/>
  <c r="J20" i="15"/>
  <c r="F63" i="15"/>
  <c r="C62" i="15" s="1"/>
  <c r="C34" i="15"/>
  <c r="R27" i="6"/>
  <c r="R6" i="1"/>
  <c r="Q48" i="83"/>
  <c r="C33" i="11"/>
  <c r="C39" i="11" s="1"/>
  <c r="C43" i="11" s="1"/>
  <c r="D31" i="6"/>
  <c r="I6" i="6" s="1"/>
  <c r="C19" i="69"/>
  <c r="C24" i="69" s="1"/>
  <c r="D37" i="69"/>
  <c r="C37" i="69" s="1"/>
  <c r="C33" i="69" s="1"/>
  <c r="C23" i="69"/>
  <c r="C19" i="68"/>
  <c r="D37" i="68"/>
  <c r="C37" i="68" s="1"/>
  <c r="C43" i="37"/>
  <c r="B2" i="37" s="1"/>
  <c r="B3" i="37" s="1"/>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E47" i="37"/>
  <c r="F47" i="37" s="1"/>
  <c r="E46" i="37"/>
  <c r="F46" i="37" s="1"/>
  <c r="C36" i="36"/>
  <c r="C37" i="36"/>
  <c r="B2" i="36" s="1"/>
  <c r="B3" i="36" s="1"/>
  <c r="M21" i="77"/>
  <c r="F35" i="82"/>
  <c r="F35" i="78"/>
  <c r="M21" i="78"/>
  <c r="M21" i="67"/>
  <c r="B6" i="76"/>
  <c r="M21" i="82"/>
  <c r="F35" i="77"/>
  <c r="F35" i="67"/>
  <c r="C33" i="67" l="1"/>
  <c r="C13" i="67"/>
  <c r="Q70" i="67" s="1"/>
  <c r="C23" i="77"/>
  <c r="C29" i="77" s="1"/>
  <c r="C13" i="77" s="1"/>
  <c r="C57" i="67"/>
  <c r="C61" i="67" s="1"/>
  <c r="J14" i="67"/>
  <c r="J13" i="67" s="1"/>
  <c r="J23" i="67" s="1"/>
  <c r="C36" i="67"/>
  <c r="Q49" i="67"/>
  <c r="C37" i="67"/>
  <c r="C33" i="78"/>
  <c r="J14" i="78"/>
  <c r="J22" i="78" s="1"/>
  <c r="J19" i="78"/>
  <c r="Q49" i="78"/>
  <c r="B2" i="76"/>
  <c r="B3" i="76" s="1"/>
  <c r="C57" i="78"/>
  <c r="C61" i="78" s="1"/>
  <c r="C13" i="78"/>
  <c r="C37" i="78" s="1"/>
  <c r="C64" i="67"/>
  <c r="C34" i="77"/>
  <c r="F63" i="77"/>
  <c r="C62" i="77" s="1"/>
  <c r="J20" i="78"/>
  <c r="J17" i="78" s="1"/>
  <c r="J20" i="77"/>
  <c r="C34" i="67"/>
  <c r="F63" i="67"/>
  <c r="C62" i="67" s="1"/>
  <c r="C59" i="67" s="1"/>
  <c r="J20" i="67"/>
  <c r="J17" i="67" s="1"/>
  <c r="F63" i="78"/>
  <c r="C62" i="78" s="1"/>
  <c r="C34" i="78"/>
  <c r="C31" i="78" s="1"/>
  <c r="J13" i="78"/>
  <c r="J23" i="78" s="1"/>
  <c r="C75" i="78"/>
  <c r="C36" i="77"/>
  <c r="J19" i="77"/>
  <c r="Q49" i="77"/>
  <c r="C33" i="82"/>
  <c r="J14" i="82"/>
  <c r="J22" i="82" s="1"/>
  <c r="J19" i="82"/>
  <c r="Q49" i="82"/>
  <c r="C36" i="82"/>
  <c r="C13" i="82"/>
  <c r="Q70" i="82" s="1"/>
  <c r="C33" i="68"/>
  <c r="C39" i="68" s="1"/>
  <c r="C43" i="68" s="1"/>
  <c r="C23" i="83"/>
  <c r="C29" i="83" s="1"/>
  <c r="Q49" i="15"/>
  <c r="C36" i="15"/>
  <c r="J19" i="15"/>
  <c r="J17" i="15" s="1"/>
  <c r="C57" i="15"/>
  <c r="C13" i="15"/>
  <c r="J14" i="15"/>
  <c r="C33" i="15"/>
  <c r="C31" i="15" s="1"/>
  <c r="C61" i="82"/>
  <c r="C64" i="82"/>
  <c r="F63" i="82"/>
  <c r="C62" i="82" s="1"/>
  <c r="C34" i="82"/>
  <c r="J20" i="82"/>
  <c r="R16" i="1"/>
  <c r="C42" i="11"/>
  <c r="C41" i="11" s="1"/>
  <c r="C20" i="69"/>
  <c r="C28" i="69" s="1"/>
  <c r="C27" i="69" s="1"/>
  <c r="I5" i="6"/>
  <c r="C20" i="68"/>
  <c r="C24" i="68"/>
  <c r="C39" i="69"/>
  <c r="C42" i="69"/>
  <c r="C46" i="11"/>
  <c r="C45" i="11" s="1"/>
  <c r="K68" i="39"/>
  <c r="J70" i="39"/>
  <c r="L57" i="15"/>
  <c r="L60" i="15" s="1"/>
  <c r="L46" i="15" s="1"/>
  <c r="C57" i="77" l="1"/>
  <c r="C33" i="77"/>
  <c r="J14" i="77"/>
  <c r="J22" i="67"/>
  <c r="C56" i="67"/>
  <c r="C65" i="67" s="1"/>
  <c r="C58" i="67" s="1"/>
  <c r="C67" i="67" s="1"/>
  <c r="C68" i="67" s="1"/>
  <c r="C71" i="67" s="1"/>
  <c r="C75" i="67"/>
  <c r="C31" i="67"/>
  <c r="C30" i="67" s="1"/>
  <c r="C39" i="67" s="1"/>
  <c r="C80" i="67" s="1"/>
  <c r="C79" i="67" s="1"/>
  <c r="J16" i="67"/>
  <c r="J25" i="67" s="1"/>
  <c r="J17" i="77"/>
  <c r="C64" i="78"/>
  <c r="C59" i="78"/>
  <c r="Q70" i="78"/>
  <c r="C31" i="77"/>
  <c r="C56" i="78"/>
  <c r="C65" i="78" s="1"/>
  <c r="C30" i="78"/>
  <c r="C39" i="78" s="1"/>
  <c r="C80" i="78" s="1"/>
  <c r="C79" i="78" s="1"/>
  <c r="J16" i="78"/>
  <c r="J25" i="78" s="1"/>
  <c r="C40" i="67"/>
  <c r="C61" i="77"/>
  <c r="C59" i="77" s="1"/>
  <c r="C64" i="77"/>
  <c r="J13" i="77"/>
  <c r="J23" i="77" s="1"/>
  <c r="J22" i="77"/>
  <c r="C37" i="77"/>
  <c r="Q70" i="77"/>
  <c r="C56" i="77"/>
  <c r="C65" i="77" s="1"/>
  <c r="C75" i="77"/>
  <c r="C42" i="68"/>
  <c r="C41" i="68" s="1"/>
  <c r="C37" i="82"/>
  <c r="J17" i="82"/>
  <c r="J13" i="82"/>
  <c r="J23" i="82" s="1"/>
  <c r="C56" i="82"/>
  <c r="C65" i="82" s="1"/>
  <c r="C31" i="82"/>
  <c r="C30" i="82" s="1"/>
  <c r="C39" i="82" s="1"/>
  <c r="C40" i="82" s="1"/>
  <c r="C75" i="82"/>
  <c r="C59" i="82"/>
  <c r="C75" i="15"/>
  <c r="Q70" i="15"/>
  <c r="C56" i="15"/>
  <c r="C65" i="15" s="1"/>
  <c r="C37" i="15"/>
  <c r="J22" i="15"/>
  <c r="J13" i="15"/>
  <c r="J23" i="15" s="1"/>
  <c r="C64" i="15"/>
  <c r="C61" i="15"/>
  <c r="C59" i="15" s="1"/>
  <c r="C57" i="83"/>
  <c r="J19" i="83"/>
  <c r="J17" i="83" s="1"/>
  <c r="C13" i="83"/>
  <c r="C33" i="83"/>
  <c r="C31" i="83" s="1"/>
  <c r="C36" i="83"/>
  <c r="J14" i="83"/>
  <c r="Q49" i="83"/>
  <c r="C30" i="15"/>
  <c r="C39" i="15" s="1"/>
  <c r="L57" i="82"/>
  <c r="L60" i="82" s="1"/>
  <c r="L46" i="82" s="1"/>
  <c r="C49" i="11"/>
  <c r="C51" i="11" s="1"/>
  <c r="C52" i="11" s="1"/>
  <c r="B2" i="11" s="1"/>
  <c r="B3" i="11" s="1"/>
  <c r="L57" i="83"/>
  <c r="L60" i="83" s="1"/>
  <c r="L46" i="83" s="1"/>
  <c r="C25" i="69"/>
  <c r="C22" i="69" s="1"/>
  <c r="C31" i="69" s="1"/>
  <c r="C46" i="68"/>
  <c r="C46" i="69"/>
  <c r="C45" i="69" s="1"/>
  <c r="C43" i="69"/>
  <c r="C41" i="69" s="1"/>
  <c r="C28" i="68"/>
  <c r="C27" i="68" s="1"/>
  <c r="C25" i="68"/>
  <c r="C22" i="68" s="1"/>
  <c r="L68" i="39"/>
  <c r="K70" i="39"/>
  <c r="Q57" i="15"/>
  <c r="Q66" i="15"/>
  <c r="L51" i="67"/>
  <c r="L51" i="82"/>
  <c r="L51" i="78"/>
  <c r="L51" i="15"/>
  <c r="C45" i="67" l="1"/>
  <c r="C46" i="67" s="1"/>
  <c r="L57" i="67"/>
  <c r="L60" i="67" s="1"/>
  <c r="Q66" i="67" s="1"/>
  <c r="Q67" i="67"/>
  <c r="Q69" i="67"/>
  <c r="Q68" i="67" s="1"/>
  <c r="C58" i="78"/>
  <c r="C67" i="78" s="1"/>
  <c r="C68" i="78" s="1"/>
  <c r="C71" i="78" s="1"/>
  <c r="C40" i="78"/>
  <c r="Q65" i="78" s="1"/>
  <c r="C30" i="77"/>
  <c r="C39" i="77" s="1"/>
  <c r="C80" i="77" s="1"/>
  <c r="C79" i="77" s="1"/>
  <c r="J16" i="77"/>
  <c r="J25" i="77" s="1"/>
  <c r="L57" i="78"/>
  <c r="L60" i="78" s="1"/>
  <c r="Q67" i="78"/>
  <c r="Q69" i="78"/>
  <c r="Q68" i="78" s="1"/>
  <c r="C58" i="77"/>
  <c r="C67" i="77" s="1"/>
  <c r="C68" i="77" s="1"/>
  <c r="Q47" i="67"/>
  <c r="Q53" i="67" s="1"/>
  <c r="C43" i="67"/>
  <c r="Q56" i="67"/>
  <c r="Q65" i="67"/>
  <c r="C83" i="67"/>
  <c r="C82" i="67" s="1"/>
  <c r="J16" i="82"/>
  <c r="J25" i="82" s="1"/>
  <c r="C58" i="82"/>
  <c r="C67" i="82" s="1"/>
  <c r="C68" i="82" s="1"/>
  <c r="C71" i="82" s="1"/>
  <c r="Q67" i="82"/>
  <c r="Q69" i="82"/>
  <c r="Q68" i="82" s="1"/>
  <c r="C80" i="82"/>
  <c r="C79" i="82" s="1"/>
  <c r="C58" i="15"/>
  <c r="C67" i="15" s="1"/>
  <c r="C68" i="15" s="1"/>
  <c r="C71" i="15" s="1"/>
  <c r="J16" i="15"/>
  <c r="J25" i="15" s="1"/>
  <c r="Q67" i="15"/>
  <c r="Q70" i="83"/>
  <c r="C56" i="83"/>
  <c r="C65" i="83" s="1"/>
  <c r="C75" i="83"/>
  <c r="C37" i="83"/>
  <c r="C30" i="83" s="1"/>
  <c r="C39" i="83" s="1"/>
  <c r="C61" i="83"/>
  <c r="C59" i="83" s="1"/>
  <c r="C64" i="83"/>
  <c r="C80" i="15"/>
  <c r="C79" i="15" s="1"/>
  <c r="Q69" i="15"/>
  <c r="Q68" i="15" s="1"/>
  <c r="C40" i="15"/>
  <c r="J22" i="83"/>
  <c r="J13" i="83"/>
  <c r="J23" i="83" s="1"/>
  <c r="C49" i="68"/>
  <c r="C51" i="68" s="1"/>
  <c r="Q57" i="82"/>
  <c r="Q66" i="82"/>
  <c r="Q47" i="82"/>
  <c r="Q53" i="82" s="1"/>
  <c r="Q65" i="82"/>
  <c r="C43" i="82"/>
  <c r="B2" i="82"/>
  <c r="C8" i="12" s="1"/>
  <c r="Q56" i="82"/>
  <c r="C83" i="82"/>
  <c r="C82" i="82" s="1"/>
  <c r="C31" i="68"/>
  <c r="C49" i="69"/>
  <c r="C51" i="69" s="1"/>
  <c r="C52" i="69" s="1"/>
  <c r="B2" i="69" s="1"/>
  <c r="B3" i="69" s="1"/>
  <c r="Q66" i="83"/>
  <c r="Q57" i="83"/>
  <c r="C56" i="11"/>
  <c r="C57" i="11" s="1"/>
  <c r="M68" i="39"/>
  <c r="L70" i="39"/>
  <c r="L51" i="77"/>
  <c r="L51" i="83"/>
  <c r="AO6" i="1"/>
  <c r="Q57" i="67" l="1"/>
  <c r="L46" i="67"/>
  <c r="D2" i="67" s="1"/>
  <c r="Q69" i="77"/>
  <c r="Q68" i="77" s="1"/>
  <c r="C40" i="77"/>
  <c r="C43" i="77" s="1"/>
  <c r="C43" i="78"/>
  <c r="C83" i="78"/>
  <c r="C82" i="78" s="1"/>
  <c r="Q62" i="67"/>
  <c r="Q47" i="78"/>
  <c r="Q53" i="78" s="1"/>
  <c r="L57" i="77"/>
  <c r="L60" i="77" s="1"/>
  <c r="L46" i="77" s="1"/>
  <c r="Q67" i="77"/>
  <c r="C46" i="78"/>
  <c r="Q56" i="78"/>
  <c r="L46" i="78"/>
  <c r="B2" i="78" s="1"/>
  <c r="B3" i="78" s="1"/>
  <c r="Q57" i="78"/>
  <c r="Q62" i="78" s="1"/>
  <c r="Q66" i="78"/>
  <c r="Q75" i="78" s="1"/>
  <c r="B2" i="67"/>
  <c r="B3" i="67"/>
  <c r="Q65" i="77"/>
  <c r="C71" i="77"/>
  <c r="Q75" i="67"/>
  <c r="C46" i="82"/>
  <c r="Q62" i="82"/>
  <c r="J16" i="83"/>
  <c r="J25" i="83" s="1"/>
  <c r="Q67" i="83"/>
  <c r="C40" i="83"/>
  <c r="Q69" i="83"/>
  <c r="Q68" i="83" s="1"/>
  <c r="C46" i="15"/>
  <c r="Q47" i="15"/>
  <c r="Q53" i="15" s="1"/>
  <c r="C83" i="15"/>
  <c r="C82" i="15" s="1"/>
  <c r="B2" i="15"/>
  <c r="Q65" i="15"/>
  <c r="Q75" i="15" s="1"/>
  <c r="C43" i="15"/>
  <c r="Q56" i="15"/>
  <c r="Q62" i="15" s="1"/>
  <c r="C58" i="83"/>
  <c r="C67" i="83" s="1"/>
  <c r="C68" i="83" s="1"/>
  <c r="C80" i="83"/>
  <c r="C79" i="83" s="1"/>
  <c r="C52" i="68"/>
  <c r="B2" i="68" s="1"/>
  <c r="Q75" i="82"/>
  <c r="B6" i="70"/>
  <c r="B3" i="82"/>
  <c r="C6" i="12" s="1"/>
  <c r="C57" i="69"/>
  <c r="C56" i="69" s="1"/>
  <c r="N68" i="39"/>
  <c r="M70" i="39"/>
  <c r="AO8" i="1"/>
  <c r="C19" i="9"/>
  <c r="C46" i="77" l="1"/>
  <c r="C83" i="77"/>
  <c r="C82" i="77" s="1"/>
  <c r="Q47" i="77"/>
  <c r="Q53" i="77" s="1"/>
  <c r="Q56" i="77"/>
  <c r="B2" i="77"/>
  <c r="B3" i="77" s="1"/>
  <c r="Q66" i="77"/>
  <c r="Q57" i="77"/>
  <c r="Q75" i="77"/>
  <c r="C102" i="9"/>
  <c r="C21" i="9"/>
  <c r="B3" i="68"/>
  <c r="C57" i="68"/>
  <c r="C56" i="68" s="1"/>
  <c r="B8" i="70"/>
  <c r="C71" i="83"/>
  <c r="C46" i="83"/>
  <c r="B3" i="15"/>
  <c r="E6" i="12" s="1"/>
  <c r="E8" i="12"/>
  <c r="Q47" i="83"/>
  <c r="Q53" i="83" s="1"/>
  <c r="Q56" i="83"/>
  <c r="Q62" i="83" s="1"/>
  <c r="C83" i="83"/>
  <c r="C82" i="83" s="1"/>
  <c r="Q65" i="83"/>
  <c r="Q75" i="83" s="1"/>
  <c r="C43" i="83"/>
  <c r="B2" i="83"/>
  <c r="O68" i="39"/>
  <c r="O70" i="39" s="1"/>
  <c r="N70" i="39"/>
  <c r="C20" i="9"/>
  <c r="AO7" i="1"/>
  <c r="Q62" i="77" l="1"/>
  <c r="C103" i="9"/>
  <c r="B7" i="70"/>
  <c r="B2" i="70" s="1"/>
  <c r="B3" i="70" s="1"/>
  <c r="B3" i="83"/>
  <c r="C4" i="12"/>
  <c r="J7" i="39"/>
  <c r="H7" i="39"/>
  <c r="F7" i="39"/>
  <c r="C23" i="12" l="1"/>
  <c r="C31" i="12"/>
  <c r="S7" i="39"/>
  <c r="AA7" i="39"/>
  <c r="R47" i="39" s="1"/>
  <c r="AB7" i="39"/>
  <c r="T47" i="39" s="1"/>
  <c r="G47" i="39" s="1"/>
  <c r="U7" i="39"/>
  <c r="AC7" i="39"/>
  <c r="V47" i="39" s="1"/>
  <c r="I47" i="39" s="1"/>
  <c r="W7" i="39"/>
  <c r="C27" i="12" l="1"/>
  <c r="C25" i="12" s="1"/>
  <c r="C30" i="12"/>
  <c r="C28" i="12" s="1"/>
  <c r="G52" i="39"/>
  <c r="H52" i="39" s="1"/>
  <c r="G51" i="39"/>
  <c r="H51" i="39" s="1"/>
  <c r="E47" i="39"/>
  <c r="I52" i="39" s="1"/>
  <c r="J52" i="39" s="1"/>
  <c r="R48" i="39"/>
  <c r="I51" i="39"/>
  <c r="J51" i="39" s="1"/>
  <c r="C32" i="12" l="1"/>
  <c r="B2" i="12" s="1"/>
  <c r="C47" i="39"/>
  <c r="C48" i="39"/>
  <c r="E51" i="39"/>
  <c r="F51" i="39" s="1"/>
  <c r="E52" i="39"/>
  <c r="F52" i="39" s="1"/>
  <c r="D19" i="9"/>
  <c r="D102" i="9" l="1"/>
  <c r="D21"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G21" i="9"/>
  <c r="C32" i="9"/>
  <c r="H118" i="9" l="1"/>
  <c r="C35" i="9"/>
  <c r="F118" i="9" s="1"/>
  <c r="C34" i="9" l="1"/>
  <c r="D118" i="9" s="1"/>
  <c r="D119" i="9" s="1"/>
  <c r="D5" i="52" s="1"/>
  <c r="B49" i="72" s="1"/>
  <c r="F119" i="9"/>
  <c r="F5" i="52" s="1"/>
  <c r="B53" i="72" s="1"/>
  <c r="G118" i="9"/>
  <c r="G4" i="52" s="1"/>
  <c r="B52" i="72" s="1"/>
  <c r="F4" i="52"/>
  <c r="B51" i="72" s="1"/>
  <c r="H4" i="52"/>
  <c r="H119" i="9"/>
  <c r="H5" i="52" s="1"/>
  <c r="C104" i="9"/>
  <c r="H101" i="9"/>
  <c r="D14" i="74"/>
  <c r="I118" i="9"/>
  <c r="D4" i="52" l="1"/>
  <c r="B47" i="72" s="1"/>
  <c r="I4" i="52"/>
  <c r="H102" i="9"/>
  <c r="D7" i="53" s="1"/>
  <c r="B21" i="72" s="1"/>
  <c r="C105" i="9"/>
  <c r="E118" i="9"/>
  <c r="E4" i="52" s="1"/>
  <c r="B48" i="72" s="1"/>
  <c r="D45" i="9"/>
  <c r="D5" i="53"/>
  <c r="H107" i="9"/>
  <c r="M48" i="9"/>
  <c r="E14" i="74"/>
  <c r="F14" i="74"/>
  <c r="B5" i="74"/>
  <c r="B20" i="72" l="1"/>
  <c r="D6" i="53"/>
  <c r="B22" i="72" s="1"/>
  <c r="D5" i="74"/>
  <c r="C5" i="74"/>
  <c r="D122" i="9"/>
  <c r="H108" i="9"/>
  <c r="D15" i="53" s="1"/>
  <c r="B31" i="72" s="1"/>
  <c r="D13" i="53"/>
  <c r="M49" i="9"/>
  <c r="D53" i="9"/>
  <c r="C85" i="9"/>
  <c r="C93" i="9"/>
  <c r="C86" i="9" s="1"/>
  <c r="D55" i="9"/>
  <c r="M53" i="9" s="1"/>
  <c r="C78" i="9"/>
  <c r="C73" i="9" s="1"/>
  <c r="D52" i="9"/>
  <c r="C64" i="9"/>
  <c r="C63" i="9" s="1"/>
  <c r="C67" i="9" s="1"/>
  <c r="C68" i="9" s="1"/>
  <c r="D54" i="9" s="1"/>
  <c r="C72" i="9"/>
  <c r="C79" i="9" l="1"/>
  <c r="C95" i="9"/>
  <c r="L64" i="9"/>
  <c r="M64" i="9" s="1"/>
  <c r="L68" i="9"/>
  <c r="M68" i="9" s="1"/>
  <c r="L66" i="9"/>
  <c r="M66" i="9" s="1"/>
  <c r="L65" i="9"/>
  <c r="M65" i="9" s="1"/>
  <c r="L67" i="9"/>
  <c r="M67" i="9" s="1"/>
  <c r="L63" i="9"/>
  <c r="M63" i="9" s="1"/>
  <c r="B30" i="72"/>
  <c r="D14" i="53"/>
  <c r="B32" i="72" s="1"/>
  <c r="D123" i="9"/>
  <c r="D9" i="52" s="1"/>
  <c r="D8" i="52"/>
  <c r="G14" i="74"/>
  <c r="B6" i="74" s="1"/>
  <c r="M69" i="9" l="1"/>
  <c r="N69" i="9" s="1"/>
  <c r="C80" i="9"/>
  <c r="E80" i="9" s="1"/>
  <c r="E81" i="9" s="1"/>
  <c r="D6" i="74"/>
  <c r="C6" i="74"/>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<sst xmlns="http://schemas.openxmlformats.org/spreadsheetml/2006/main" count="11106" uniqueCount="3938">
  <si>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</si>
  <si>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</si>
  <si>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</si>
  <si>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</si>
  <si>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</si>
  <si>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</si>
  <si>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</si>
  <si>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</si>
  <si>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</si>
  <si>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</si>
  <si>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</si>
  <si>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</si>
  <si>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</si>
  <si>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</si>
  <si>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</si>
  <si>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</si>
  <si>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</si>
  <si>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</si>
  <si>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</si>
  <si>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</si>
  <si>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</si>
  <si>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</si>
  <si>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</si>
  <si>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</si>
  <si>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</si>
  <si>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</si>
  <si>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</si>
  <si>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</si>
  <si>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</si>
  <si>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</si>
  <si>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</si>
  <si>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</si>
  <si>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</si>
  <si>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</si>
  <si>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</si>
  <si>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</si>
  <si>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</si>
  <si>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</si>
  <si>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</si>
  <si>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</si>
  <si>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</si>
  <si>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</si>
  <si>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</si>
  <si>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</si>
  <si>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</si>
  <si>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</si>
  <si>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</si>
  <si>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</si>
  <si>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</si>
  <si>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</si>
  <si>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</si>
  <si>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</si>
  <si>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</si>
  <si>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</si>
  <si>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</si>
  <si>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</si>
  <si>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</si>
  <si>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</si>
  <si>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</si>
  <si>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</si>
  <si>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</si>
  <si>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</si>
  <si>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</si>
  <si>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</si>
  <si>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</si>
  <si>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</si>
  <si>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</si>
  <si>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</si>
  <si>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</si>
  <si>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</si>
  <si>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</si>
  <si>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</si>
  <si>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</si>
  <si>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</si>
  <si>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</si>
  <si>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</si>
  <si>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</si>
  <si>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</si>
  <si>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</si>
  <si>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</si>
  <si>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</si>
  <si>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</si>
  <si>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</si>
  <si>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</si>
  <si>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</si>
  <si>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</si>
  <si>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</si>
  <si>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</si>
  <si>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</si>
  <si>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</si>
  <si>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</si>
  <si>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</si>
  <si>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</si>
  <si>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</si>
  <si>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</si>
  <si>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</si>
  <si>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</si>
  <si>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</si>
  <si>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</si>
  <si>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</si>
  <si>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</si>
  <si>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</si>
  <si>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</si>
  <si>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</si>
  <si>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</si>
  <si>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</si>
  <si>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</si>
  <si>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</si>
  <si>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</si>
  <si>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</si>
  <si>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</si>
  <si>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</si>
  <si>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</si>
  <si>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</si>
  <si>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</si>
  <si>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</si>
  <si>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</si>
  <si>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</si>
  <si>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</si>
  <si>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</si>
  <si>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</si>
  <si>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</si>
  <si>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</si>
  <si>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</si>
  <si>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</si>
  <si>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</si>
  <si>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</si>
  <si>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</si>
  <si>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</si>
  <si>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</si>
  <si>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</si>
  <si>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</si>
  <si>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</si>
  <si>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</si>
  <si>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</si>
  <si>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</si>
  <si>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</si>
  <si>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</si>
  <si>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</si>
  <si>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</si>
  <si>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</si>
  <si>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</si>
  <si>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</si>
  <si>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</si>
  <si>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</si>
  <si>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</si>
  <si>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</si>
  <si>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</si>
  <si>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</si>
  <si>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</si>
  <si>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</si>
  <si>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</si>
  <si>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</si>
  <si>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</si>
  <si>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</si>
  <si>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</si>
  <si>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</si>
  <si>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</si>
  <si>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</si>
  <si>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</si>
  <si>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</si>
  <si>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</si>
  <si>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</si>
  <si>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</si>
  <si>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</si>
  <si>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</si>
  <si>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</si>
  <si>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</si>
  <si>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</si>
  <si>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</si>
  <si>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</si>
  <si>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</si>
  <si>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</si>
  <si>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</si>
  <si>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</si>
  <si>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</si>
  <si>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</si>
  <si>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</si>
  <si>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</si>
  <si>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</si>
  <si>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</si>
  <si>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</si>
  <si>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</si>
  <si>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</si>
  <si>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</si>
  <si>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</si>
  <si>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</si>
  <si>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</si>
  <si>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</si>
  <si>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</si>
  <si>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</si>
  <si>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</si>
  <si>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</si>
  <si>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</si>
  <si>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</si>
  <si>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</si>
  <si>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</si>
  <si>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</si>
  <si>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</si>
  <si>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</si>
  <si>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</si>
  <si>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</si>
  <si>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</si>
  <si>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</si>
  <si>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</si>
  <si>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</si>
  <si>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</si>
  <si>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</si>
  <si>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</si>
  <si>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</si>
  <si>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</si>
  <si>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</si>
  <si>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</si>
  <si>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</si>
  <si>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</si>
  <si>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</si>
  <si>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</si>
  <si>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</si>
  <si>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</si>
  <si>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</si>
  <si>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</si>
  <si>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</si>
  <si>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</si>
  <si>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</si>
  <si>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</si>
  <si>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</si>
  <si>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</si>
  <si>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</si>
  <si>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</si>
  <si>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</si>
  <si>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</si>
  <si>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</si>
  <si>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</si>
  <si>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</si>
  <si>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</si>
  <si>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</si>
  <si>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</si>
  <si>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</si>
  <si>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</si>
  <si>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</si>
  <si>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</si>
  <si>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</si>
  <si>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</si>
  <si>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</si>
  <si>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</si>
  <si>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</si>
  <si>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</si>
  <si>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</si>
  <si>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</si>
  <si>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</si>
  <si>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</si>
  <si>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</si>
  <si>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</si>
  <si>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</si>
  <si>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</si>
  <si>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</si>
  <si>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</si>
  <si>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</si>
  <si>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</si>
  <si>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</si>
  <si>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</si>
  <si>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</si>
  <si>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</si>
  <si>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</si>
  <si>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</si>
  <si>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</si>
  <si>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</si>
  <si>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</si>
  <si>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</si>
  <si>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</si>
  <si>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</si>
  <si>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</si>
  <si>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</si>
  <si>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</si>
  <si>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</si>
  <si>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</si>
  <si>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</si>
  <si>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</si>
  <si>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</si>
  <si>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</si>
  <si>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</si>
  <si>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</si>
  <si>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</si>
  <si>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</si>
  <si>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</si>
  <si>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</si>
  <si>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</si>
  <si>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</si>
  <si>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</si>
  <si>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</si>
  <si>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</si>
  <si>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</si>
  <si>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</si>
  <si>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</si>
  <si>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</si>
  <si>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</si>
  <si>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</si>
  <si>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</si>
  <si>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</si>
  <si>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</si>
  <si>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</si>
  <si>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</si>
  <si>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</si>
  <si>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</si>
  <si>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</si>
  <si>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</si>
  <si>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</si>
  <si>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</si>
  <si>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</si>
  <si>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</si>
  <si>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</si>
  <si>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</si>
  <si>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</si>
  <si>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</si>
  <si>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</si>
  <si>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</si>
  <si>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</si>
  <si>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</si>
  <si>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</si>
  <si>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</si>
  <si>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</si>
  <si>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</si>
  <si>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</si>
  <si>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</si>
  <si>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</si>
  <si>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</si>
  <si>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</si>
  <si>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</si>
  <si>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</si>
  <si>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</si>
  <si>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</si>
  <si>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</si>
  <si>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</si>
  <si>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</si>
  <si>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</si>
  <si>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</si>
  <si>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</si>
  <si>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</si>
  <si>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</si>
  <si>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</si>
  <si>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</si>
  <si>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</si>
  <si>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</si>
  <si>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</si>
  <si>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</si>
  <si>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</si>
  <si>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</si>
  <si>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</si>
  <si>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</si>
  <si>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</si>
  <si>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</si>
  <si>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</si>
  <si>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</si>
  <si>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</si>
  <si>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</si>
  <si>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</si>
  <si>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</si>
  <si>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</si>
  <si>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</si>
  <si>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</si>
  <si>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</si>
  <si>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</si>
  <si>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</si>
  <si>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</si>
  <si>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</si>
  <si>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</si>
  <si>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</si>
  <si>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</si>
  <si>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</si>
  <si>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</si>
  <si>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</si>
  <si>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</si>
  <si>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</si>
  <si>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</si>
  <si>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</si>
  <si>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</si>
  <si>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</si>
  <si>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</si>
  <si>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</si>
  <si>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</si>
  <si>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</si>
  <si>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</si>
  <si>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</si>
  <si>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</si>
  <si>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</si>
  <si>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</si>
  <si>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</si>
  <si>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</si>
  <si>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</si>
  <si>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</si>
  <si>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</si>
  <si>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</si>
  <si>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</si>
  <si>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</si>
  <si>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</si>
  <si>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</si>
  <si>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</si>
  <si>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</si>
  <si>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</si>
  <si>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</si>
  <si>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</si>
  <si>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</si>
  <si>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</si>
  <si>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</si>
  <si>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</si>
  <si>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</si>
  <si>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</si>
  <si>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</si>
  <si>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</si>
  <si>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</si>
  <si>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</si>
  <si>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</si>
  <si>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</si>
  <si>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</si>
  <si>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</si>
  <si>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</si>
  <si>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</si>
  <si>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</si>
  <si>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</si>
  <si>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</si>
  <si>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</si>
  <si>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</si>
  <si>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</si>
  <si>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</si>
  <si>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</si>
  <si>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</si>
  <si>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</si>
  <si>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</si>
  <si>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</si>
  <si>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</si>
  <si>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</si>
  <si>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</si>
  <si>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</si>
  <si>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</si>
  <si>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</si>
  <si>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</si>
  <si>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</si>
  <si>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</si>
  <si>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</si>
  <si>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</si>
  <si>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</si>
  <si>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</si>
  <si>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</si>
  <si>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</si>
  <si>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</si>
  <si>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</si>
  <si>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</si>
  <si>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</si>
  <si>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</si>
  <si>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</si>
  <si>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</si>
  <si>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</si>
  <si>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</si>
  <si>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</si>
  <si>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</si>
  <si>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</si>
  <si>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</si>
  <si>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</si>
  <si>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</si>
  <si>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</si>
  <si>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</si>
  <si>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</si>
  <si>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</si>
  <si>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</si>
  <si>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</si>
  <si>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</si>
  <si>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</si>
  <si>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</si>
  <si>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</si>
  <si>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</si>
  <si>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</si>
  <si>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</si>
  <si>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</si>
  <si>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</si>
  <si>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</si>
  <si>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</si>
  <si>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</si>
  <si>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</si>
  <si>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</si>
  <si>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</si>
  <si>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</si>
  <si>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</si>
  <si>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</si>
  <si>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</si>
  <si>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</si>
  <si>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</si>
  <si>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</si>
  <si>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</si>
  <si>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</si>
  <si>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</si>
  <si>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</si>
  <si>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</si>
  <si>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</si>
  <si>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</si>
  <si>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</si>
  <si>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</si>
  <si>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</si>
  <si>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</si>
  <si>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</si>
  <si>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</si>
  <si>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</si>
  <si>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</si>
  <si>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</si>
  <si>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</si>
  <si>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</si>
  <si>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</si>
  <si>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</si>
  <si>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</si>
  <si>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</si>
  <si>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</si>
  <si>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</si>
  <si>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</si>
  <si>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</si>
  <si>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</si>
  <si>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</si>
  <si>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</si>
  <si>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</si>
  <si>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</si>
  <si>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</si>
  <si>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</si>
  <si>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</si>
  <si>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</si>
  <si>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</si>
  <si>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</si>
  <si>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</si>
  <si>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</si>
  <si>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</si>
  <si>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</si>
  <si>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</si>
  <si>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</si>
  <si>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</si>
  <si>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</si>
  <si>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</si>
  <si>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</si>
  <si>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</si>
  <si>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</si>
  <si>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</si>
  <si>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</si>
  <si>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</si>
  <si>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</si>
  <si>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</si>
  <si>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</si>
  <si>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</si>
  <si>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</si>
  <si>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</si>
  <si>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</si>
  <si>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</si>
  <si>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</si>
  <si>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</si>
  <si>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</si>
  <si>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</si>
  <si>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</si>
  <si>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</si>
  <si>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</si>
  <si>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</si>
  <si>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</si>
  <si>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</si>
  <si>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</si>
  <si>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</si>
  <si>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</si>
  <si>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</si>
  <si>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</si>
  <si>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</si>
  <si>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</si>
  <si>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</si>
  <si>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</si>
  <si>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</si>
  <si>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</si>
  <si>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</si>
  <si>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</si>
  <si>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</si>
  <si>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</si>
  <si>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</si>
  <si>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</si>
  <si>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</si>
  <si>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</si>
  <si>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</si>
  <si>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</si>
  <si>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</si>
  <si>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</si>
  <si>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</si>
  <si>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</si>
  <si>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</si>
  <si>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</si>
  <si>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</si>
  <si>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</si>
  <si>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</si>
  <si>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</si>
  <si>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</si>
  <si>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</si>
  <si>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</si>
  <si>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</si>
  <si>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</si>
  <si>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</si>
  <si>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</si>
  <si>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</si>
  <si>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</si>
  <si>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</si>
  <si>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</si>
  <si>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</si>
  <si>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</si>
  <si>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</si>
  <si>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</si>
  <si>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</si>
  <si>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</si>
  <si>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</si>
  <si>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</si>
  <si>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</si>
  <si>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</si>
  <si>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</si>
  <si>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</si>
  <si>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</si>
  <si>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</si>
  <si>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</si>
  <si>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</si>
  <si>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</si>
  <si>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</si>
  <si>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</si>
  <si>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</si>
  <si>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</si>
  <si>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</si>
  <si>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</si>
  <si>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</si>
  <si>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</si>
  <si>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</si>
  <si>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</si>
  <si>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</si>
  <si>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</si>
  <si>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</si>
  <si>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</si>
  <si>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</si>
  <si>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</si>
  <si>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</si>
  <si>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</si>
  <si>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</si>
  <si>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</si>
  <si>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</si>
  <si>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</si>
  <si>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</si>
  <si>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</si>
  <si>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</si>
  <si>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</si>
  <si>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</si>
  <si>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</si>
  <si>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</si>
  <si>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</si>
  <si>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</si>
  <si>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</si>
  <si>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</si>
  <si>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</si>
  <si>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</si>
  <si>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</si>
  <si>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</si>
  <si>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</si>
  <si>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</si>
  <si>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</si>
  <si>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</si>
  <si>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</si>
  <si>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</si>
  <si>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</si>
  <si>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</si>
  <si>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</si>
  <si>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</si>
  <si>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</si>
  <si>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</si>
  <si>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</si>
  <si>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</si>
  <si>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</si>
  <si>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</si>
  <si>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</si>
  <si>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</si>
  <si>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</si>
  <si>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</si>
  <si>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</si>
  <si>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</si>
  <si>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</si>
  <si>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</si>
  <si>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</si>
  <si>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</si>
  <si>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</si>
  <si>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</si>
  <si>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</si>
  <si>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</si>
  <si>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</si>
  <si>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</si>
  <si>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</si>
  <si>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</si>
  <si>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</si>
  <si>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</si>
  <si>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</si>
  <si>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</si>
  <si>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</si>
  <si>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</si>
  <si>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</si>
  <si>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</si>
  <si>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</si>
  <si>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</si>
  <si>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</si>
  <si>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</si>
  <si>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</si>
  <si>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</si>
  <si>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</si>
  <si>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</si>
  <si>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</si>
  <si>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</si>
  <si>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</si>
  <si>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</si>
  <si>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</si>
  <si>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</si>
  <si>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</si>
  <si>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</si>
  <si>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</si>
  <si>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</si>
  <si>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</si>
  <si>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</si>
  <si>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</si>
  <si>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</si>
  <si>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</si>
  <si>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</si>
  <si>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</si>
  <si>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</si>
  <si>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</si>
  <si>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</si>
  <si>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</si>
  <si>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</si>
  <si>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</si>
  <si>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</si>
  <si>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</si>
  <si>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</si>
  <si>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</si>
  <si>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</si>
  <si>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</si>
  <si>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</si>
  <si>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</si>
  <si>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</si>
  <si>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</si>
  <si>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</si>
  <si>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</si>
  <si>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</si>
  <si>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</si>
  <si>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</si>
  <si>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</si>
  <si>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</si>
  <si>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</si>
  <si>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</si>
  <si>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</si>
  <si>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</si>
  <si>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</si>
  <si>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</si>
  <si>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</si>
  <si>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</si>
  <si>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</si>
  <si>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</si>
  <si>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</si>
  <si>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</si>
  <si>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</si>
  <si>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</si>
  <si>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</si>
  <si>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</si>
  <si>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</si>
  <si>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</si>
  <si>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</si>
  <si>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</si>
  <si>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</si>
  <si>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</si>
  <si>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</si>
  <si>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</si>
  <si>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</si>
  <si>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</si>
  <si>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</si>
  <si>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</si>
  <si>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</si>
  <si>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</si>
  <si>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</si>
  <si>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</si>
  <si>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</si>
  <si>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</si>
  <si>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</si>
  <si>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</si>
  <si>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</si>
  <si>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</si>
  <si>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</si>
  <si>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</si>
  <si>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</si>
  <si>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</si>
  <si>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</si>
  <si>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</si>
  <si>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</si>
  <si>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</si>
  <si>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</si>
  <si>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</si>
  <si>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</si>
  <si>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</si>
  <si>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</si>
  <si>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</si>
  <si>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</si>
  <si>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</si>
  <si>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</si>
  <si>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</si>
  <si>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</si>
  <si>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</si>
  <si>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</si>
  <si>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</si>
  <si>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</si>
  <si>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</si>
  <si>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</si>
  <si>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</si>
  <si>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</si>
  <si>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</si>
  <si>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</si>
  <si>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</si>
  <si>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</si>
  <si>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</si>
  <si>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</si>
  <si>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</si>
  <si>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</si>
  <si>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</si>
  <si>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</si>
  <si>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</si>
  <si>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</si>
  <si>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</si>
  <si>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</si>
  <si>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</si>
  <si>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</si>
  <si>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</si>
  <si>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</si>
  <si>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</si>
  <si>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</si>
  <si>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</si>
  <si>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</si>
  <si>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</si>
  <si>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</si>
  <si>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</si>
  <si>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</si>
  <si>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</si>
  <si>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</si>
  <si>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</si>
  <si>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</si>
  <si>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</si>
  <si>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</si>
  <si>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</si>
  <si>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</si>
  <si>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</si>
  <si>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</si>
  <si>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</si>
  <si>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</si>
  <si>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</si>
  <si>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</si>
  <si>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</si>
  <si>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</si>
  <si>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</si>
  <si>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</si>
  <si>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</si>
  <si>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</si>
  <si>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</si>
  <si>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</si>
  <si>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</si>
  <si>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</si>
  <si>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</si>
  <si>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</si>
  <si>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</si>
  <si>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</si>
  <si>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</si>
  <si>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</si>
  <si>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</si>
  <si>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</si>
  <si>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</si>
  <si>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</si>
  <si>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</si>
  <si>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</si>
  <si>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</si>
  <si>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</si>
  <si>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</si>
  <si>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</si>
  <si>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</si>
  <si>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</si>
  <si>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</si>
  <si>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</si>
  <si>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</si>
  <si>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</si>
  <si>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</si>
  <si>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</si>
  <si>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</si>
  <si>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</si>
  <si>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</si>
  <si>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</si>
  <si>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</si>
  <si>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</si>
  <si>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</si>
  <si>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</si>
  <si>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</si>
  <si>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</si>
  <si>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</si>
  <si>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</si>
  <si>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</si>
  <si>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</si>
  <si>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</si>
  <si>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</si>
  <si>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</si>
  <si>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</si>
  <si>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</si>
  <si>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</si>
  <si>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</si>
  <si>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</si>
  <si>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</si>
  <si>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</si>
  <si>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</si>
  <si>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</si>
  <si>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</si>
  <si>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</si>
  <si>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</si>
  <si>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</si>
  <si>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</si>
  <si>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</si>
  <si>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</si>
  <si>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</si>
  <si>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</si>
  <si>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</si>
  <si>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</si>
  <si>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</si>
  <si>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</si>
  <si>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</si>
  <si>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</si>
  <si>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</si>
  <si>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</si>
  <si>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</si>
  <si>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</si>
  <si>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</si>
  <si>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</si>
  <si>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</si>
  <si>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</si>
  <si>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</si>
  <si>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</si>
  <si>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</si>
  <si>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</si>
  <si>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</si>
  <si>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</si>
  <si>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</si>
  <si>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</si>
  <si>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</si>
  <si>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</si>
  <si>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</si>
  <si>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</si>
  <si>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</si>
  <si>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</si>
  <si>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</si>
  <si>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</si>
  <si>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</si>
  <si>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</si>
  <si>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</si>
  <si>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</si>
  <si>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</si>
  <si>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</si>
  <si>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</si>
  <si>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</si>
  <si>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</si>
  <si>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</si>
  <si>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</si>
  <si>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</si>
  <si>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</si>
  <si>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</si>
  <si>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</si>
  <si>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</si>
  <si>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</si>
  <si>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</si>
  <si>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</si>
  <si>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</si>
  <si>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</si>
  <si>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</si>
  <si>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</si>
  <si>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</si>
  <si>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</si>
  <si>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</si>
  <si>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</si>
  <si>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</si>
  <si>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</si>
  <si>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</si>
  <si>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</si>
  <si>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</si>
  <si>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</si>
  <si>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</si>
  <si>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</si>
  <si>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</si>
  <si>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</si>
  <si>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</si>
  <si>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</si>
  <si>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</si>
  <si>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</si>
  <si>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</si>
  <si>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</si>
  <si>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</si>
  <si>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</si>
  <si>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</si>
  <si>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</si>
  <si>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</si>
  <si>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</si>
  <si>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</si>
  <si>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</si>
  <si>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</si>
  <si>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</si>
  <si>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</si>
  <si>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</si>
  <si>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</si>
  <si>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</si>
  <si>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</si>
  <si>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</si>
  <si>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</si>
  <si>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</si>
  <si>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</si>
  <si>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</si>
  <si>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</si>
  <si>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</si>
  <si>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</si>
  <si>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</si>
  <si>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</si>
  <si>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</si>
  <si>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</si>
  <si>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</si>
  <si>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</si>
  <si>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</si>
  <si>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</si>
  <si>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</si>
  <si>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</si>
  <si>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</si>
  <si>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</si>
  <si>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</si>
  <si>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</si>
  <si>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</si>
  <si>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</si>
  <si>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</si>
  <si>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</si>
  <si>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</si>
  <si>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</si>
  <si>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</si>
  <si>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</si>
  <si>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</si>
  <si>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</si>
  <si>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</si>
  <si>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</si>
  <si>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</si>
  <si>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</si>
  <si>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</si>
  <si>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</si>
  <si>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</si>
  <si>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</si>
  <si>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</si>
  <si>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</si>
  <si>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</si>
  <si>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</si>
  <si>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</si>
  <si>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</si>
  <si>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</si>
  <si>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</si>
  <si>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</si>
  <si>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</si>
  <si>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</si>
  <si>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</si>
  <si>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</si>
  <si>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</si>
  <si>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</si>
  <si>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</si>
  <si>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</si>
  <si>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</si>
  <si>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</si>
  <si>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</si>
  <si>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</si>
  <si>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</si>
  <si>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</si>
  <si>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</si>
  <si>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</si>
  <si>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</si>
  <si>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</si>
  <si>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</si>
  <si>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</si>
  <si>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</si>
  <si>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</si>
  <si>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</si>
  <si>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</si>
  <si>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</si>
  <si>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</si>
  <si>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</si>
  <si>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</si>
  <si>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</si>
  <si>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</si>
  <si>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</si>
  <si>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</si>
  <si>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</si>
  <si>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</si>
  <si>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</si>
  <si>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</si>
  <si>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</si>
  <si>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</si>
  <si>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</si>
  <si>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</si>
  <si>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</si>
  <si>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</si>
  <si>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</si>
  <si>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</si>
  <si>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</si>
  <si>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</si>
  <si>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</si>
  <si>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</si>
  <si>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</si>
  <si>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</si>
  <si>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</si>
  <si>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</si>
  <si>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</si>
  <si>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</si>
  <si>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</si>
  <si>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</si>
  <si>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</si>
  <si>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</si>
  <si>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</si>
  <si>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</si>
  <si>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</si>
  <si>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</si>
  <si>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</si>
  <si>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</si>
  <si>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</si>
  <si>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</si>
  <si>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</si>
  <si>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</si>
  <si>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</si>
  <si>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</si>
  <si>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</si>
  <si>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</si>
  <si>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</si>
  <si>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</si>
  <si>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</si>
  <si>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</si>
  <si>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</si>
  <si>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</si>
  <si>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</si>
  <si>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</si>
  <si>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</si>
  <si>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</si>
  <si>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</si>
  <si>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</si>
  <si>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</si>
  <si>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</si>
  <si>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</si>
  <si>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</si>
  <si>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</si>
  <si>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</si>
  <si>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</si>
  <si>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</si>
  <si>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</si>
  <si>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</si>
  <si>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</si>
  <si>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</si>
  <si>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</si>
  <si>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</si>
  <si>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</si>
  <si>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</si>
  <si>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</si>
  <si>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</si>
  <si>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</si>
  <si>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</si>
  <si>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</si>
  <si>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</si>
  <si>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</si>
  <si>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</si>
  <si>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</si>
  <si>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</si>
  <si>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</si>
  <si>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</si>
  <si>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</si>
  <si>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</si>
  <si>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</si>
  <si>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</si>
  <si>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</si>
  <si>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</si>
  <si>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</si>
  <si>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</si>
  <si>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</si>
  <si>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</si>
  <si>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</si>
  <si>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</si>
  <si>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</si>
  <si>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</si>
  <si>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</si>
  <si>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</si>
  <si>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</si>
  <si>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</si>
  <si>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</si>
  <si>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</si>
  <si>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</si>
  <si>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</si>
  <si>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</si>
  <si>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</si>
  <si>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</si>
  <si>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</si>
  <si>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</si>
  <si>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</si>
  <si>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</si>
  <si>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</si>
  <si>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</si>
  <si>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</si>
  <si>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</si>
  <si>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</si>
  <si>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</si>
  <si>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</si>
  <si>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</si>
  <si>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</si>
  <si>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</si>
  <si>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</si>
  <si>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</si>
  <si>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</si>
  <si>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</si>
  <si>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</si>
  <si>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</si>
  <si>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</si>
  <si>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</si>
  <si>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</si>
  <si>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</si>
  <si>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</si>
  <si>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</si>
  <si>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</si>
  <si>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</si>
  <si>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</si>
  <si>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</si>
  <si>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</si>
  <si>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</si>
  <si>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</si>
  <si>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</si>
  <si>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</si>
  <si>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</si>
  <si>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</si>
  <si>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</si>
  <si>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</si>
  <si>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</si>
  <si>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</si>
  <si>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</si>
  <si>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</si>
  <si>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</si>
  <si>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</si>
  <si>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</si>
  <si>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</si>
  <si>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</si>
  <si>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</si>
  <si>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</si>
  <si>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</si>
  <si>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</si>
  <si>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</si>
  <si>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</si>
  <si>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</si>
  <si>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</si>
  <si>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</si>
  <si>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</si>
  <si>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</si>
  <si>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</si>
  <si>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</si>
  <si>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</si>
  <si>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</si>
  <si>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</si>
  <si>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</si>
  <si>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</si>
  <si>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</si>
  <si>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</si>
  <si>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</si>
  <si>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</si>
  <si>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</si>
  <si>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</si>
  <si>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</si>
  <si>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</si>
  <si>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</si>
  <si>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</si>
  <si>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</si>
  <si>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</si>
  <si>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</si>
  <si>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</si>
  <si>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</si>
  <si>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</si>
  <si>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</si>
  <si>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</si>
  <si>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</si>
  <si>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</si>
  <si>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</si>
  <si>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</si>
  <si>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</si>
  <si>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</si>
  <si>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</si>
  <si>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</si>
  <si>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</si>
  <si>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</si>
  <si>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</si>
  <si>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</si>
  <si>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</si>
  <si>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</si>
  <si>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</si>
  <si>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</si>
  <si>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</si>
  <si>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</si>
  <si>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</si>
  <si>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</si>
  <si>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</si>
  <si>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</si>
  <si>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</si>
  <si>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</si>
  <si>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</si>
  <si>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</si>
  <si>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</si>
  <si>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</si>
  <si>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</si>
  <si>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</si>
  <si>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</si>
  <si>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</si>
  <si>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</si>
  <si>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</si>
  <si>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</si>
  <si>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</si>
  <si>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</si>
  <si>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</si>
  <si>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</si>
  <si>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</si>
  <si>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</si>
  <si>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</si>
  <si>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</si>
  <si>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</si>
  <si>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</si>
  <si>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</si>
  <si>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</si>
  <si>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</si>
  <si>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</si>
  <si>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</si>
  <si>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</si>
  <si>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</si>
  <si>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</si>
  <si>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</si>
  <si>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</si>
  <si>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</si>
  <si>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</si>
  <si>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</si>
  <si>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</si>
  <si>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</si>
  <si>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</si>
  <si>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</si>
  <si>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</si>
  <si>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</si>
  <si>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</si>
  <si>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</si>
  <si>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</si>
  <si>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</si>
  <si>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</si>
  <si>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</si>
  <si>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</si>
  <si>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</si>
  <si>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</si>
  <si>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</si>
  <si>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</si>
  <si>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</si>
  <si>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</si>
  <si>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</si>
  <si>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</si>
  <si>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</si>
  <si>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</si>
  <si>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</si>
  <si>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</si>
  <si>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</si>
  <si>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</si>
  <si>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</si>
  <si>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</si>
  <si>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</si>
  <si>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</si>
  <si>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</si>
  <si>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</si>
  <si>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</si>
  <si>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</si>
  <si>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</si>
  <si>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</si>
  <si>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</si>
  <si>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</si>
  <si>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</si>
  <si>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</si>
  <si>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</si>
  <si>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</si>
  <si>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</si>
  <si>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</si>
  <si>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</si>
  <si>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</si>
  <si>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</si>
  <si>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</si>
  <si>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</si>
  <si>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</si>
  <si>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</si>
  <si>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</si>
  <si>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</si>
  <si>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</si>
  <si>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</si>
  <si>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</si>
  <si>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</si>
  <si>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</si>
  <si>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</si>
  <si>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</si>
  <si>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</si>
  <si>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</si>
  <si>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</si>
  <si>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</si>
  <si>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</si>
  <si>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</si>
  <si>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</si>
  <si>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</si>
  <si>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</si>
  <si>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</si>
  <si>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</si>
  <si>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</si>
  <si>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</si>
  <si>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</si>
  <si>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</si>
  <si>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</si>
  <si>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</si>
  <si>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</si>
  <si>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</si>
  <si>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</si>
  <si>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</si>
  <si>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</si>
  <si>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</si>
  <si>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</si>
  <si>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</si>
  <si>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</si>
  <si>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</si>
  <si>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</si>
  <si>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</si>
  <si>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</si>
  <si>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</si>
  <si>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</si>
  <si>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</si>
  <si>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</si>
  <si>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</si>
  <si>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</si>
  <si>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</si>
  <si>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</si>
  <si>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</si>
  <si>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</si>
  <si>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</si>
  <si>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</si>
  <si>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</si>
  <si>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</si>
  <si>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</si>
  <si>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</si>
  <si>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</si>
  <si>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</si>
  <si>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</si>
  <si>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</si>
  <si>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</si>
  <si>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</si>
  <si>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</si>
  <si>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</si>
  <si>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</si>
  <si>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</si>
  <si>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</si>
  <si>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</si>
  <si>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</si>
  <si>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</si>
  <si>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</si>
  <si>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</si>
  <si>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</si>
  <si>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</si>
  <si>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</si>
  <si>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</si>
  <si>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</si>
  <si>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</si>
  <si>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</si>
  <si>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</si>
  <si>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</si>
  <si>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</si>
  <si>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</si>
  <si>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</si>
  <si>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</si>
  <si>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</si>
  <si>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</si>
  <si>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</si>
  <si>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</si>
  <si>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</si>
  <si>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</si>
  <si>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</si>
  <si>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</si>
  <si>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</si>
  <si>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</si>
  <si>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</si>
  <si>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</si>
  <si>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</si>
  <si>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</si>
  <si>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</si>
  <si>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</si>
  <si>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</si>
  <si>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</si>
  <si>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</si>
  <si>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</si>
  <si>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</si>
  <si>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</si>
  <si>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</si>
  <si>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</si>
  <si>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</si>
  <si>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</si>
  <si>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</si>
  <si>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</si>
  <si>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</si>
  <si>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</si>
  <si>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</si>
  <si>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</si>
  <si>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</si>
  <si>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</si>
  <si>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</si>
  <si>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</si>
  <si>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</si>
  <si>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</si>
  <si>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</si>
  <si>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</si>
  <si>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</si>
  <si>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</si>
  <si>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</si>
  <si>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</si>
  <si>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</si>
  <si>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</si>
  <si>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</si>
  <si>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</si>
  <si>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</si>
  <si>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</si>
  <si>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</si>
  <si>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</si>
  <si>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</si>
  <si>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</si>
  <si>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</si>
  <si>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</si>
  <si>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</si>
  <si>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</si>
  <si>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</si>
  <si>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</si>
  <si>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</si>
  <si>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</si>
  <si>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</si>
  <si>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</si>
  <si>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</si>
  <si>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</si>
  <si>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</si>
  <si>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</si>
  <si>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</si>
  <si>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</si>
  <si>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</si>
  <si>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</si>
  <si>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</si>
  <si>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</si>
  <si>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</si>
  <si>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</si>
  <si>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</si>
  <si>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</si>
  <si>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</si>
  <si>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</si>
  <si>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</si>
  <si>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</si>
  <si>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</si>
  <si>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</si>
  <si>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</si>
  <si>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</si>
  <si>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</si>
  <si>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</si>
  <si>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</si>
  <si>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</si>
  <si>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</si>
  <si>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</si>
  <si>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</si>
  <si>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</si>
  <si>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</si>
  <si>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</si>
  <si>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</si>
  <si>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</si>
  <si>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</si>
  <si>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</si>
  <si>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</si>
  <si>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</si>
  <si>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</si>
  <si>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</si>
  <si>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</si>
  <si>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</si>
  <si>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</si>
  <si>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</si>
  <si>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</si>
  <si>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</si>
  <si>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</si>
  <si>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</si>
  <si>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</si>
  <si>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</si>
  <si>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</si>
  <si>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</si>
  <si>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</si>
  <si>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</si>
  <si>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</si>
  <si>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</si>
  <si>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</si>
  <si>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</si>
  <si>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</si>
  <si>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</si>
  <si>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</si>
  <si>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</si>
  <si>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</si>
  <si>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</si>
  <si>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</si>
  <si>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</si>
  <si>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</si>
  <si>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</si>
  <si>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</si>
  <si>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</si>
  <si>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</si>
  <si>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</si>
  <si>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</si>
  <si>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</si>
  <si>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</si>
  <si>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</si>
  <si>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</si>
  <si>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</si>
  <si>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</si>
  <si>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</si>
  <si>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</si>
  <si>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</si>
  <si>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</si>
  <si>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</si>
  <si>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</si>
  <si>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</si>
  <si>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</si>
  <si>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</si>
  <si>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</si>
  <si>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</si>
  <si>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</si>
  <si>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</si>
  <si>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</si>
  <si>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</si>
  <si>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</si>
  <si>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</si>
  <si>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</si>
  <si>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</si>
  <si>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</si>
  <si>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</si>
  <si>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</si>
  <si>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</si>
  <si>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</si>
  <si>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</si>
  <si>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</si>
  <si>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</si>
  <si>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</si>
  <si>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</si>
  <si>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</si>
  <si>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</si>
  <si>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</si>
  <si>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</si>
  <si>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</si>
  <si>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</si>
  <si>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</si>
  <si>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</si>
  <si>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</si>
  <si>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</si>
  <si>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</si>
  <si>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</si>
  <si>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</si>
  <si>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</si>
  <si>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</si>
  <si>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</si>
  <si>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</si>
  <si>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</si>
  <si>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</si>
  <si>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</si>
  <si>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</si>
  <si>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</si>
  <si>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</si>
  <si>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</si>
  <si>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</si>
  <si>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</si>
  <si>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</si>
  <si>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</si>
  <si>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</si>
  <si>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</si>
  <si>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</si>
  <si>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</si>
  <si>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</si>
  <si>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</si>
  <si>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</si>
  <si>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</si>
  <si>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</si>
  <si>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</si>
  <si>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</si>
  <si>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</si>
  <si>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</si>
  <si>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</si>
  <si>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</si>
  <si>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</si>
  <si>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</si>
  <si>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</si>
  <si>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</si>
  <si>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</si>
  <si>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</si>
  <si>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</si>
  <si>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</si>
  <si>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</si>
  <si>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</si>
  <si>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</si>
  <si>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</si>
  <si>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</si>
  <si>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</si>
  <si>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</si>
  <si>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</si>
  <si>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</si>
  <si>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</si>
  <si>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</si>
  <si>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</si>
  <si>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</si>
  <si>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</si>
  <si>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</si>
  <si>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</si>
  <si>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</si>
  <si>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</si>
  <si>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</si>
  <si>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</si>
  <si>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</si>
  <si>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</si>
  <si>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</si>
  <si>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</si>
  <si>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</si>
  <si>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</si>
  <si>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</si>
  <si>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</si>
  <si>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</si>
  <si>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</si>
  <si>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</si>
  <si>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</si>
  <si>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</si>
  <si>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</si>
  <si>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</si>
  <si>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</si>
  <si>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</si>
  <si>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</si>
  <si>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</si>
  <si>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</si>
  <si>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</si>
  <si>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</si>
  <si>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</si>
  <si>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</si>
  <si>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</si>
  <si>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</si>
  <si>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</si>
  <si>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</si>
  <si>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</si>
  <si>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</si>
  <si>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</si>
  <si>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</si>
  <si>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</si>
  <si>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</si>
  <si>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</si>
  <si>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</si>
  <si>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</si>
  <si>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</si>
  <si>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</si>
  <si>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</si>
  <si>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</si>
  <si>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</si>
  <si>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</si>
  <si>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</si>
  <si>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</si>
  <si>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</si>
  <si>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</si>
  <si>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</si>
  <si>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</si>
  <si>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</si>
  <si>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</si>
  <si>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</si>
  <si>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</si>
  <si>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</si>
  <si>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</si>
  <si>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</si>
  <si>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</si>
  <si>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</si>
  <si>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</si>
  <si>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</si>
  <si>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</si>
  <si>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</si>
  <si>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</si>
  <si>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</si>
  <si>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</si>
  <si>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</si>
  <si>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</si>
  <si>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</si>
  <si>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</si>
  <si>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</si>
  <si>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</si>
  <si>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</si>
  <si>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</si>
  <si>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</si>
  <si>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</si>
  <si>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</si>
  <si>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</si>
  <si>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</si>
  <si>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</si>
  <si>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</si>
  <si>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</si>
  <si>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</si>
  <si>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</si>
  <si>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</si>
  <si>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</si>
  <si>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</si>
  <si>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</si>
  <si>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</si>
  <si>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</si>
  <si>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</si>
  <si>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</si>
  <si>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</si>
  <si>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</si>
  <si>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</si>
  <si>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</si>
  <si>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</si>
  <si>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</si>
  <si>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</si>
  <si>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</si>
  <si>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</si>
  <si>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</si>
  <si>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</si>
  <si>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</si>
  <si>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</si>
  <si>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</si>
  <si>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</si>
  <si>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</si>
  <si>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</si>
  <si>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</si>
  <si>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</si>
  <si>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</si>
  <si>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</si>
  <si>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</si>
  <si>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</si>
  <si>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</si>
  <si>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</si>
  <si>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</si>
  <si>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</si>
  <si>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</si>
  <si>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</si>
  <si>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</si>
  <si>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</si>
  <si>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</si>
  <si>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</si>
  <si>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</si>
  <si>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</si>
  <si>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</si>
  <si>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</si>
  <si>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</si>
  <si>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</si>
  <si>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</si>
  <si>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</si>
  <si>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</si>
  <si>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</si>
  <si>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</si>
  <si>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</si>
  <si>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</si>
  <si>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</si>
  <si>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</si>
  <si>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</si>
  <si>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</si>
  <si>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</si>
  <si>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</si>
  <si>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</si>
  <si>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</si>
  <si>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</si>
  <si>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</si>
  <si>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</si>
  <si>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</si>
  <si>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</si>
  <si>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</si>
  <si>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</si>
  <si>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</si>
  <si>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</si>
  <si>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</si>
  <si>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</si>
  <si>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</si>
  <si>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</si>
  <si>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</si>
  <si>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</si>
  <si>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</si>
  <si>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</si>
  <si>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</si>
  <si>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</si>
  <si>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</si>
  <si>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</si>
  <si>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</si>
  <si>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</si>
  <si>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</si>
  <si>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</si>
  <si>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</si>
  <si>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</si>
  <si>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</si>
  <si>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</si>
  <si>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</si>
  <si>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</si>
  <si>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</si>
  <si>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</si>
  <si>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</si>
  <si>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</si>
  <si>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</si>
  <si>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</si>
  <si>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</si>
  <si>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</si>
  <si>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</si>
  <si>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</si>
  <si>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</si>
  <si>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</si>
  <si>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</si>
  <si>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</si>
  <si>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</si>
  <si>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</si>
  <si>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</si>
  <si>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</si>
  <si>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</si>
  <si>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</si>
  <si>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</si>
  <si>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</si>
  <si>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</si>
  <si>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</si>
  <si>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</si>
  <si>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</si>
  <si>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</si>
  <si>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</si>
  <si>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</si>
  <si>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</si>
  <si>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</si>
  <si>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</si>
  <si>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</si>
  <si>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</si>
  <si>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</si>
  <si>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</si>
  <si>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</si>
  <si>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</si>
  <si>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</si>
  <si>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</si>
  <si>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</si>
  <si>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</si>
  <si>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</si>
  <si>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</si>
  <si>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</si>
  <si>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</si>
  <si>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</si>
  <si>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</si>
  <si>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</si>
  <si>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</si>
  <si>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</si>
  <si>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</si>
  <si>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</si>
  <si>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</si>
  <si>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</si>
  <si>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</si>
  <si>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</si>
  <si>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</si>
  <si>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</si>
  <si>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</si>
  <si>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</si>
  <si>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</si>
  <si>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</si>
  <si>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</si>
  <si>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</si>
  <si>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</si>
  <si>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</si>
  <si>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</si>
  <si>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</si>
  <si>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</si>
  <si>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</si>
  <si>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</si>
  <si>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</si>
  <si>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</si>
  <si>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</si>
  <si>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</si>
  <si>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</si>
  <si>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</si>
  <si>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</si>
  <si>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</si>
  <si>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</si>
  <si>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</si>
  <si>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</si>
  <si>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</si>
  <si>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</si>
  <si>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</si>
  <si>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</si>
  <si>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</si>
  <si>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</si>
  <si>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</si>
  <si>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</si>
  <si>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</si>
  <si>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</si>
  <si>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</si>
  <si>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</si>
  <si>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</si>
  <si>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</si>
  <si>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</si>
  <si>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</si>
  <si>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</si>
  <si>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</si>
  <si>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</si>
  <si>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</si>
  <si>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</si>
  <si>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</si>
  <si>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</si>
  <si>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</si>
  <si>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</si>
  <si>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</si>
  <si>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</si>
  <si>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</si>
  <si>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</si>
  <si>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</si>
  <si>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</si>
  <si>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</si>
  <si>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</si>
  <si>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</si>
  <si>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</si>
  <si>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</si>
  <si>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</si>
  <si>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</si>
  <si>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</si>
  <si>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</si>
  <si>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</si>
  <si>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</si>
  <si>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</si>
  <si>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</si>
  <si>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</si>
  <si>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</si>
  <si>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</si>
  <si>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</si>
  <si>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</si>
  <si>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</si>
  <si>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</si>
  <si>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</si>
  <si>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</si>
  <si>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</si>
  <si>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</si>
  <si>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</si>
  <si>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</si>
  <si>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</si>
  <si>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</si>
  <si>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</si>
  <si>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</si>
  <si>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</si>
  <si>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</si>
  <si>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</si>
  <si>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</si>
  <si>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</si>
  <si>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</si>
  <si>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</si>
  <si>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</si>
  <si>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</si>
  <si>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</si>
  <si>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</si>
  <si>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</si>
  <si>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</si>
  <si>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</si>
  <si>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</si>
  <si>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</si>
  <si>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</si>
  <si>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</si>
  <si>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</si>
  <si>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</si>
  <si>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</si>
  <si>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</si>
  <si>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</si>
  <si>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</si>
  <si>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</si>
  <si>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</si>
  <si>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</si>
  <si>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</si>
  <si>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</si>
  <si>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</si>
  <si>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</si>
  <si>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</si>
  <si>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</si>
  <si>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</si>
  <si>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</si>
  <si>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</si>
  <si>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</si>
  <si>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</si>
  <si>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</si>
  <si>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</si>
  <si>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</si>
  <si>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</si>
  <si>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</si>
  <si>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</si>
  <si>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</si>
  <si>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</si>
  <si>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</si>
  <si>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</si>
  <si>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</si>
  <si>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</si>
  <si>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</si>
  <si>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</si>
  <si>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</si>
  <si>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</si>
  <si>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</si>
  <si>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</si>
  <si>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</si>
  <si>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</si>
  <si>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</si>
  <si>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</si>
  <si>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</si>
  <si>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</si>
  <si>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</si>
  <si>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</si>
  <si>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</si>
  <si>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</si>
  <si>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</si>
  <si>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</si>
  <si>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</si>
  <si>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</si>
  <si>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</si>
  <si>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</si>
  <si>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</si>
  <si>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</si>
  <si>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</si>
  <si>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</si>
  <si>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</si>
  <si>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</si>
  <si>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</si>
  <si>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</si>
  <si>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</si>
  <si>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</si>
  <si>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</si>
  <si>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</si>
  <si>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</si>
  <si>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</si>
  <si>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</si>
  <si>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</si>
  <si>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</si>
  <si>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</si>
  <si>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</si>
  <si>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</si>
  <si>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</si>
  <si>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</si>
  <si>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</si>
  <si>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</si>
  <si>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</si>
  <si>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</si>
  <si>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</si>
  <si>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</si>
  <si>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</si>
  <si>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</si>
  <si>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</si>
  <si>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</si>
  <si>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</si>
  <si>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</si>
  <si>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</si>
  <si>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</si>
  <si>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</si>
  <si>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</si>
  <si>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</si>
  <si>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</si>
  <si>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</si>
  <si>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</si>
  <si>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</si>
  <si>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</si>
  <si>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</si>
  <si>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</si>
  <si>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</si>
  <si>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</si>
  <si>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</si>
  <si>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</si>
  <si>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</si>
  <si>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</si>
  <si>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</si>
  <si>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</si>
  <si>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</si>
  <si>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</si>
  <si>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</si>
  <si>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</si>
  <si>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</si>
  <si>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</si>
  <si>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</si>
  <si>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</si>
  <si>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</si>
  <si>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</si>
  <si>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</si>
  <si>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</si>
  <si>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</si>
  <si>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</si>
  <si>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</si>
  <si>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</si>
  <si>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</si>
  <si>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</si>
  <si>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</si>
  <si>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</si>
  <si>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</si>
  <si>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</si>
  <si>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</si>
  <si>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</si>
  <si>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</si>
  <si>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</si>
  <si>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</si>
  <si>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</si>
  <si>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</si>
  <si>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</si>
  <si>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</si>
  <si>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</si>
  <si>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</si>
  <si>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</si>
  <si>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</si>
  <si>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</si>
  <si>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</si>
  <si>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</si>
  <si>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</si>
  <si>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</si>
  <si>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</si>
  <si>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</si>
  <si>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</si>
  <si>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</si>
  <si>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</si>
  <si>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</si>
  <si>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</si>
  <si>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</si>
  <si>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</si>
  <si>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</si>
  <si>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</si>
  <si>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</si>
  <si>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</si>
  <si>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</si>
  <si>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</si>
  <si>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</si>
  <si>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</si>
  <si>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</si>
  <si>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</si>
  <si>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</si>
  <si>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</si>
  <si>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</si>
  <si>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</si>
  <si>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</si>
  <si>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</si>
  <si>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</si>
  <si>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</si>
  <si>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</si>
  <si>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</si>
  <si>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</si>
  <si>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</si>
  <si>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</si>
  <si>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</si>
  <si>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</si>
  <si>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</si>
  <si>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</si>
  <si>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</si>
  <si>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</si>
  <si>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</si>
  <si>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</si>
  <si>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</si>
  <si>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</si>
  <si>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</si>
  <si>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</si>
  <si>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</si>
  <si>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</si>
  <si>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</si>
  <si>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</si>
  <si>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</si>
  <si>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</si>
  <si>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</si>
  <si>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</si>
  <si>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</si>
  <si>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</si>
  <si>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</si>
  <si>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</si>
  <si>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</si>
  <si>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</si>
  <si>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</si>
  <si>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</si>
  <si>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</si>
  <si>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</si>
  <si>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</si>
  <si>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</si>
  <si>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</si>
  <si>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</si>
  <si>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</si>
  <si>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</si>
  <si>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</si>
  <si>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</si>
  <si>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</si>
  <si>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</si>
  <si>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</si>
  <si>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</si>
  <si>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</si>
  <si>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</si>
  <si>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</si>
  <si>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</si>
  <si>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</si>
  <si>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</si>
  <si>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</si>
  <si>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</si>
  <si>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</si>
  <si>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</si>
  <si>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</si>
  <si>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</si>
  <si>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</si>
  <si>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</si>
  <si>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</si>
  <si>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</si>
  <si>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</si>
  <si>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</si>
  <si>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</si>
  <si>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</si>
  <si>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</si>
  <si>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</si>
  <si>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</si>
  <si>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</si>
  <si>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</si>
  <si>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</si>
  <si>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</si>
  <si>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</si>
  <si>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</si>
  <si>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</si>
  <si>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</si>
  <si>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</si>
  <si>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</si>
  <si>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</si>
  <si>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</si>
  <si>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</si>
  <si>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</si>
  <si>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</si>
  <si>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</si>
  <si>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</si>
  <si>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</si>
  <si>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</si>
  <si>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</si>
  <si>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</si>
  <si>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</si>
  <si>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</si>
  <si>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</si>
  <si>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</si>
  <si>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</si>
  <si>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</si>
  <si>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</si>
  <si>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</si>
  <si>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</si>
  <si>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</si>
  <si>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</si>
  <si>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</si>
  <si>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</si>
  <si>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</si>
  <si>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</si>
  <si>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</si>
  <si>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</si>
  <si>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</si>
  <si>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</si>
  <si>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</si>
  <si>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</si>
  <si>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</si>
  <si>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</si>
  <si>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</si>
  <si>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</si>
  <si>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</si>
  <si>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</si>
  <si>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</si>
  <si>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</si>
  <si>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</si>
  <si>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</si>
  <si>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</si>
  <si>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</si>
  <si>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</si>
  <si>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</si>
  <si>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</si>
  <si>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</si>
  <si>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</si>
  <si>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</si>
  <si>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</si>
  <si>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</si>
  <si>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</si>
  <si>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</si>
  <si>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</si>
  <si>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</si>
  <si>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</si>
  <si>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</si>
  <si>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</si>
  <si>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</si>
  <si>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</si>
  <si>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</si>
  <si>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</si>
  <si>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</si>
  <si>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</si>
  <si>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</si>
  <si>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</si>
  <si>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</si>
  <si>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</si>
  <si>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</si>
  <si>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</si>
  <si>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</si>
  <si>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</si>
  <si>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</si>
  <si>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</si>
  <si>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</si>
  <si>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</si>
  <si>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</si>
  <si>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</si>
  <si>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</si>
  <si>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</si>
  <si>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</si>
  <si>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</si>
  <si>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</si>
  <si>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</si>
  <si>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</si>
  <si>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</si>
  <si>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</si>
  <si>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</si>
  <si>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</si>
  <si>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</si>
  <si>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</si>
  <si>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</si>
  <si>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</si>
  <si>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</si>
  <si>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</si>
  <si>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</si>
  <si>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</si>
  <si>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</si>
  <si>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</si>
  <si>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</si>
  <si>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</si>
  <si>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</si>
  <si>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</si>
  <si>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</si>
  <si>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</si>
  <si>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</si>
  <si>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</si>
  <si>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</si>
  <si>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</si>
  <si>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</si>
  <si>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</si>
  <si>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</si>
  <si>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</si>
  <si>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</si>
  <si>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</si>
  <si>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</si>
  <si>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</si>
  <si>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</si>
  <si>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</si>
  <si>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</si>
  <si>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</si>
  <si>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</si>
  <si>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</si>
  <si>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</si>
  <si>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</si>
  <si>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</si>
  <si>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</si>
  <si>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</si>
  <si>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</si>
  <si>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</si>
  <si>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</si>
  <si>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</si>
  <si>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</si>
  <si>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</si>
  <si>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</si>
  <si>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</si>
  <si>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</si>
  <si>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</si>
  <si>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</si>
  <si>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</si>
  <si>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</si>
  <si>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</si>
  <si>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</si>
  <si>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</si>
  <si>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</si>
  <si>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</si>
  <si>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</si>
  <si>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</si>
  <si>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</si>
  <si>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</si>
  <si>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</si>
  <si>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</si>
  <si>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</si>
  <si>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</si>
  <si>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</si>
  <si>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</si>
  <si>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</si>
  <si>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</si>
  <si>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</si>
  <si>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</si>
  <si>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</si>
  <si>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</si>
  <si>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</si>
  <si>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</si>
  <si>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</si>
  <si>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</si>
  <si>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</si>
  <si>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</si>
  <si>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</si>
  <si>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</si>
  <si>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</si>
  <si>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</si>
  <si>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</si>
  <si>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</si>
  <si>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</si>
  <si>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</si>
  <si>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</si>
  <si>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</si>
  <si>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</si>
  <si>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</si>
  <si>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</si>
  <si>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</si>
  <si>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</si>
  <si>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</si>
  <si>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</si>
  <si>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</si>
  <si>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</si>
  <si>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</si>
  <si>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</si>
  <si>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</si>
  <si>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</si>
  <si>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</si>
  <si>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</si>
  <si>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</si>
  <si>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</si>
  <si>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</si>
  <si>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</si>
  <si>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</si>
  <si>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</si>
  <si>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</si>
  <si>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</si>
  <si>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</si>
  <si>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</si>
  <si>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</si>
  <si>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</si>
  <si>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</si>
  <si>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</si>
  <si>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</si>
  <si>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</si>
  <si>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</si>
  <si>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</si>
  <si>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</si>
  <si>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</si>
  <si>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</si>
  <si>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</si>
  <si>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</si>
  <si>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</si>
  <si>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</si>
  <si>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</si>
  <si>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</si>
  <si>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</si>
  <si>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</si>
  <si>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</si>
  <si>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</si>
  <si>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</si>
  <si>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</si>
  <si>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</si>
  <si>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</si>
  <si>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</si>
  <si>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</si>
  <si>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</si>
  <si>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</si>
  <si>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</si>
  <si>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</si>
  <si>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</si>
  <si>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</si>
  <si>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</si>
  <si>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</si>
  <si>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</si>
  <si>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</si>
  <si>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</si>
  <si>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</si>
  <si>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</si>
  <si>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</si>
  <si>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</si>
  <si>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</si>
  <si>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</si>
  <si>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</si>
  <si>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</si>
  <si>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</si>
  <si>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</si>
  <si>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</si>
  <si>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</si>
  <si>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</si>
  <si>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</si>
  <si>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</si>
  <si>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</si>
  <si>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</si>
  <si>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</si>
  <si>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</si>
  <si>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</si>
  <si>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</si>
  <si>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</si>
  <si>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</si>
  <si>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</si>
  <si>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</si>
  <si>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</si>
  <si>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</si>
  <si>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</si>
  <si>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</si>
  <si>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</si>
  <si>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</si>
  <si>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</si>
  <si>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</si>
  <si>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</si>
  <si>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</si>
  <si>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</si>
  <si>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</si>
  <si>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</si>
  <si>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</si>
  <si>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</si>
  <si>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</si>
  <si>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</si>
  <si>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</si>
  <si>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</si>
  <si>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</si>
  <si>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</si>
  <si>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</si>
  <si>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</si>
  <si>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</si>
  <si>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</si>
  <si>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</si>
  <si>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</si>
  <si>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</si>
  <si>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</si>
  <si>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</si>
  <si>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</si>
  <si>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</si>
  <si>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</si>
  <si>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</si>
  <si>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</si>
  <si>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</si>
  <si>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</si>
  <si>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</si>
  <si>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</si>
  <si>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</si>
  <si>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</si>
  <si>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</si>
  <si>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</si>
  <si>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</si>
  <si>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</si>
  <si>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</si>
  <si>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</si>
  <si>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</si>
  <si>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</si>
  <si>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</si>
  <si>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</si>
  <si>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</si>
  <si>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</si>
  <si>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</si>
  <si>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</si>
  <si>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</si>
  <si>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</si>
  <si>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</si>
  <si>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</si>
  <si>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</si>
  <si>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</si>
  <si>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</si>
  <si>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</si>
  <si>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</si>
  <si>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</si>
  <si>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</si>
  <si>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</si>
  <si>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</si>
  <si>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</si>
  <si>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</si>
  <si>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</si>
  <si>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</si>
  <si>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</si>
  <si>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</si>
  <si>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</si>
  <si>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</si>
  <si>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</si>
  <si>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</si>
  <si>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</si>
  <si>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</si>
  <si>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</si>
  <si>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</si>
  <si>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</si>
  <si>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</si>
  <si>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</si>
  <si>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</si>
  <si>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</si>
  <si>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</si>
  <si>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</si>
  <si>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</si>
  <si>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</si>
  <si>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</si>
  <si>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</si>
  <si>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</si>
  <si>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</si>
  <si>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</si>
  <si>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</si>
  <si>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</si>
  <si>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</si>
  <si>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</si>
  <si>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</si>
  <si>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</si>
  <si>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</si>
  <si>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</si>
  <si>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</si>
  <si>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</si>
  <si>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</si>
  <si>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</si>
  <si>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</si>
  <si>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</si>
  <si>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</si>
  <si>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</si>
  <si>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</si>
  <si>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</si>
  <si>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</si>
  <si>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</si>
  <si>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</si>
  <si>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</si>
  <si>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</si>
  <si>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</si>
  <si>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</si>
  <si>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</si>
  <si>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</si>
  <si>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</si>
  <si>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</si>
  <si>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</si>
  <si>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</si>
  <si>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</si>
  <si>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</si>
  <si>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</si>
  <si>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</si>
  <si>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</si>
  <si>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</si>
  <si>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</si>
  <si>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</si>
  <si>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</si>
  <si>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</si>
  <si>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</si>
  <si>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</si>
  <si>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</si>
  <si>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</si>
  <si>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</si>
  <si>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</si>
  <si>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</si>
  <si>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</si>
  <si>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</si>
  <si>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</si>
  <si>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</si>
  <si>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</si>
  <si>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</si>
  <si>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</si>
  <si>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</si>
  <si>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</si>
  <si>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</si>
  <si>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</si>
  <si>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</si>
  <si>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</si>
  <si>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</si>
  <si>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</si>
  <si>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</si>
  <si>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</si>
  <si>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</si>
  <si>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</si>
  <si>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</si>
  <si>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</si>
  <si>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</si>
  <si>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</si>
  <si>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</si>
  <si>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</si>
  <si>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</si>
  <si>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</si>
  <si>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</si>
  <si>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</si>
  <si>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</si>
  <si>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</si>
  <si>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</si>
  <si>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</si>
  <si>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</si>
  <si>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</si>
  <si>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</si>
  <si>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</si>
  <si>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</si>
  <si>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</si>
  <si>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</si>
  <si>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</si>
  <si>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</si>
  <si>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</si>
  <si>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</si>
  <si>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</si>
  <si>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</si>
  <si>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</si>
  <si>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</si>
  <si>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</si>
  <si>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</si>
  <si>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</si>
  <si>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</si>
  <si>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</si>
  <si>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</si>
  <si>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</si>
  <si>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</si>
  <si>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</si>
  <si>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</si>
  <si>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</si>
  <si>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</si>
  <si>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</si>
  <si>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</si>
  <si>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</si>
  <si>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</si>
  <si>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</si>
  <si>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</si>
  <si>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</si>
  <si>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</si>
  <si>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</si>
  <si>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</si>
  <si>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</si>
  <si>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</si>
  <si>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</si>
  <si>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</si>
  <si>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</si>
  <si>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</si>
  <si>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</si>
  <si>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</si>
  <si>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</si>
  <si>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</si>
  <si>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</si>
  <si>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</si>
  <si>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</si>
  <si>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</si>
  <si>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</si>
  <si>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</si>
  <si>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</si>
  <si>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</si>
  <si>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</si>
  <si>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</si>
  <si>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</si>
  <si>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</si>
  <si>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</si>
  <si>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</si>
  <si>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</si>
  <si>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</si>
  <si>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</si>
  <si>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</si>
  <si>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</si>
  <si>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</si>
  <si>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</si>
  <si>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</si>
  <si>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</si>
  <si>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</si>
  <si>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</si>
  <si>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</si>
  <si>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</si>
  <si>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</si>
  <si>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</si>
  <si>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</si>
  <si>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</si>
  <si>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</si>
  <si>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</si>
  <si>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</si>
  <si>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</si>
  <si>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</si>
  <si>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</si>
  <si>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</si>
  <si>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</si>
  <si>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</si>
  <si>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</si>
  <si>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</si>
  <si>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</si>
  <si>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</si>
  <si>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</si>
  <si>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</si>
  <si>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</si>
  <si>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</si>
  <si>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</si>
  <si>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</si>
  <si>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</si>
  <si>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</si>
  <si>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</si>
  <si>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</si>
  <si>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</si>
  <si>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</si>
  <si>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</si>
  <si>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</si>
  <si>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</si>
  <si>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</si>
  <si>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</si>
  <si>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</si>
  <si>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</si>
  <si>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</si>
  <si>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</si>
  <si>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</si>
  <si>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</si>
  <si>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</si>
  <si>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</si>
  <si>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</si>
  <si>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</si>
  <si>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</si>
  <si>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</si>
  <si>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</si>
  <si>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</si>
  <si>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</si>
  <si>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</si>
  <si>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</si>
  <si>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</si>
  <si>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</si>
  <si>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</si>
  <si>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</si>
  <si>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</si>
  <si>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</si>
  <si>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</si>
  <si>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</si>
  <si>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</si>
  <si>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</si>
  <si>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</si>
  <si>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</si>
  <si>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</si>
  <si>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</si>
  <si>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</si>
  <si>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</si>
  <si>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</si>
  <si>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</si>
  <si>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</si>
  <si>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</si>
  <si>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</si>
  <si>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</si>
  <si>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</si>
  <si>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</si>
  <si>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</si>
  <si>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</si>
  <si>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</si>
  <si>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</si>
  <si>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</si>
  <si>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</si>
  <si>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</si>
  <si>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</si>
  <si>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</si>
  <si>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</si>
  <si>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</si>
  <si>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</si>
  <si>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</si>
  <si>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</si>
  <si>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</si>
  <si>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</si>
  <si>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</si>
  <si>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</si>
  <si>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</si>
  <si>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</si>
  <si>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</si>
  <si>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</si>
  <si>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</si>
  <si>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</si>
  <si>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</si>
  <si>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</si>
  <si>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</si>
  <si>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</si>
  <si>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</si>
  <si>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</si>
  <si>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</si>
  <si>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</si>
  <si>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</si>
  <si>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</si>
  <si>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</si>
  <si>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</si>
  <si>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</si>
  <si>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</si>
  <si>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</si>
  <si>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</si>
  <si>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</si>
  <si>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</si>
  <si>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</si>
  <si>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</si>
  <si>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</si>
  <si>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</si>
  <si>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</si>
  <si>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</si>
  <si>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</si>
  <si>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</si>
  <si>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</si>
  <si>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</si>
  <si>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</si>
  <si>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</si>
  <si>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</si>
  <si>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</si>
  <si>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</si>
  <si>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</si>
  <si>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</si>
  <si>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</si>
  <si>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</si>
  <si>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</si>
  <si>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</si>
  <si>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</si>
  <si>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</si>
  <si>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</si>
  <si>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</si>
  <si>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</si>
  <si>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</si>
  <si>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</si>
  <si>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</si>
  <si>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</si>
  <si>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</si>
  <si>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</si>
  <si>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</si>
  <si>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</si>
  <si>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</si>
  <si>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</si>
  <si>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</si>
  <si>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</si>
  <si>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</si>
  <si>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</si>
  <si>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</si>
  <si>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</si>
  <si>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</si>
  <si>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</si>
  <si>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</si>
  <si>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</si>
  <si>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</si>
  <si>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</si>
  <si>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</si>
  <si>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</si>
  <si>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</si>
  <si>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</si>
  <si>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</si>
  <si>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</si>
  <si>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</si>
  <si>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</si>
  <si>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</si>
  <si>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</si>
  <si>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</si>
  <si>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</si>
  <si>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</si>
  <si>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</si>
  <si>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</si>
  <si>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</si>
  <si>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</si>
  <si>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</si>
  <si>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</si>
  <si>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</si>
  <si>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</si>
  <si>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</si>
  <si>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</si>
  <si>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</si>
  <si>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</si>
  <si>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</si>
  <si>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</si>
  <si>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</si>
  <si>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</si>
  <si>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</si>
  <si>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</si>
  <si>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</si>
  <si>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</si>
  <si>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</si>
  <si>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</si>
  <si>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</si>
  <si>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</si>
  <si>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</si>
  <si>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</si>
  <si>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</si>
  <si>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</si>
  <si>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</si>
  <si>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</si>
  <si>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</si>
  <si>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</si>
  <si>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</si>
  <si>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</si>
  <si>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</si>
  <si>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</si>
  <si>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</si>
  <si>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</si>
  <si>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</si>
  <si>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</si>
  <si>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</si>
  <si>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</si>
  <si>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</si>
  <si>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</si>
  <si>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</si>
  <si>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</si>
  <si>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</si>
  <si>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</si>
  <si>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</si>
  <si>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</si>
  <si>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</si>
  <si>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</si>
  <si>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</si>
  <si>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</si>
  <si>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</si>
  <si>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</si>
  <si>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</si>
  <si>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</si>
  <si>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</si>
  <si>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</si>
  <si>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</si>
  <si>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</si>
  <si>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</si>
  <si>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</si>
  <si>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</si>
  <si>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</si>
  <si>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</si>
  <si>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</si>
  <si>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</si>
  <si>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</si>
  <si>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</si>
  <si>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</si>
  <si>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</si>
  <si>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</si>
  <si>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</si>
  <si>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</si>
  <si>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</si>
  <si>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</si>
  <si>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</si>
  <si>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</si>
  <si>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</si>
  <si>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</si>
  <si>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</si>
  <si>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</si>
  <si>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</si>
  <si>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</si>
  <si>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</si>
  <si>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</si>
  <si>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</si>
  <si>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</si>
  <si>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</si>
  <si>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</si>
  <si>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</si>
  <si>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</si>
  <si>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</si>
  <si>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</si>
  <si>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</si>
  <si>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</si>
  <si>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</si>
  <si>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</si>
  <si>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</si>
  <si>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</si>
  <si>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</si>
  <si>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</si>
  <si>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</si>
  <si>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</si>
  <si>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</si>
  <si>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</si>
  <si>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</si>
  <si>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</si>
  <si>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</si>
  <si>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</si>
  <si>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</si>
  <si>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</si>
  <si>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</si>
  <si>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</si>
  <si>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</si>
  <si>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</si>
  <si>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</si>
  <si>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</si>
  <si>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</si>
  <si>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</si>
  <si>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</si>
  <si>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</si>
  <si>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</si>
  <si>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</si>
  <si>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</si>
  <si>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</si>
  <si>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</si>
  <si>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</si>
  <si>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</si>
  <si>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</si>
  <si>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</si>
  <si>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</si>
  <si>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</si>
  <si>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</si>
  <si>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</si>
  <si>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</si>
  <si>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</si>
  <si>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</si>
  <si>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</si>
  <si>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</si>
  <si>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</si>
  <si>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</si>
  <si>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</si>
  <si>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</si>
  <si>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</si>
  <si>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</si>
  <si>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</si>
  <si>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</si>
  <si>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</si>
  <si>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</si>
  <si>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</si>
  <si>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</si>
  <si>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</si>
  <si>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</si>
  <si>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</si>
  <si>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</si>
  <si>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</si>
  <si>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</si>
  <si>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</si>
  <si>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</si>
  <si>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</si>
  <si>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</si>
  <si>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</si>
  <si>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</si>
  <si>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</si>
  <si>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</si>
  <si>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</si>
  <si>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</si>
  <si>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</si>
  <si>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</si>
  <si>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</si>
  <si>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</si>
  <si>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</si>
  <si>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</si>
  <si>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</si>
  <si>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</si>
  <si>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</si>
  <si>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</si>
  <si>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</si>
  <si>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</si>
  <si>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</si>
  <si>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</si>
  <si>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</si>
  <si>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</si>
  <si>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</si>
  <si>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</si>
  <si>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</si>
  <si>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</si>
  <si>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</si>
  <si>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</si>
  <si>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</si>
  <si>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</si>
  <si>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</si>
  <si>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</si>
  <si>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</si>
  <si>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</si>
  <si>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</si>
  <si>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</si>
  <si>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</si>
  <si>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</si>
  <si>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</si>
  <si>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</si>
  <si>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</si>
  <si>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</si>
  <si>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</si>
  <si>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</si>
  <si>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</si>
  <si>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</si>
  <si>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</si>
  <si>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</si>
  <si>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</si>
  <si>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</si>
  <si>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</si>
  <si>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</si>
  <si>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</si>
  <si>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</si>
  <si>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</si>
  <si>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</si>
  <si>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</si>
  <si>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</si>
  <si>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</si>
  <si>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</si>
  <si>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</si>
  <si>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</si>
  <si>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</si>
  <si>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</si>
  <si>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</si>
  <si>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</si>
  <si>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</si>
  <si>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</si>
  <si>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</si>
  <si>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</si>
  <si>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</si>
  <si>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</si>
  <si>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</si>
  <si>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</si>
  <si>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</si>
  <si>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</si>
  <si>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</si>
  <si>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</si>
  <si>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</si>
  <si>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</si>
  <si>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</si>
  <si>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</si>
  <si>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</si>
  <si>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</si>
  <si>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</si>
  <si>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</si>
  <si>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</si>
  <si>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</si>
  <si>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</si>
  <si>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</si>
  <si>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</si>
  <si>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</si>
  <si>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</si>
  <si>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</si>
  <si>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</si>
  <si>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</si>
  <si>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</si>
  <si>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</si>
  <si>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</si>
  <si>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</si>
  <si>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</si>
  <si>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</si>
  <si>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</si>
  <si>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</si>
  <si>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</si>
  <si>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</si>
  <si>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</si>
  <si>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综合项目（居住、综合）</t>
  </si>
  <si>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</si>
  <si>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</si>
  <si>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</si>
  <si>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</si>
  <si>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</si>
  <si>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</si>
  <si>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</si>
  <si>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</si>
  <si>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</si>
  <si>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</si>
  <si>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</si>
  <si>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</si>
  <si>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</si>
  <si>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</si>
  <si>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</si>
  <si>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</si>
  <si>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</si>
  <si>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</si>
  <si>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</si>
  <si>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</si>
  <si>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</si>
  <si>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</si>
  <si>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</si>
  <si>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</si>
  <si>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</si>
  <si>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</si>
  <si>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</si>
  <si>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</si>
  <si>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</si>
  <si>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</si>
  <si>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</si>
  <si>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</si>
  <si>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</si>
  <si>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</si>
  <si>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</si>
  <si>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</si>
  <si>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</si>
  <si>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</si>
  <si>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</si>
  <si>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</si>
  <si>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</si>
  <si>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</si>
  <si>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</si>
  <si>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</si>
  <si>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</si>
  <si>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</si>
  <si>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</si>
  <si>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</si>
  <si>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</si>
  <si>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</si>
  <si>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</si>
  <si>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</si>
  <si>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</si>
  <si>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</si>
  <si>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</si>
  <si>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</si>
  <si>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</si>
  <si>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</si>
  <si>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</si>
  <si>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</si>
  <si>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</si>
  <si>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</si>
  <si>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</si>
  <si>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</si>
  <si>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</si>
  <si>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</si>
  <si>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</si>
  <si>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</si>
  <si>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</si>
  <si>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</si>
  <si>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</si>
  <si>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</si>
  <si>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</si>
  <si>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</si>
  <si>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</si>
  <si>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</si>
  <si>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</si>
  <si>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</si>
  <si>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</si>
  <si>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</si>
  <si>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</si>
  <si>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</si>
  <si>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</si>
  <si>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</si>
  <si>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</si>
  <si>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</si>
  <si>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</si>
  <si>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</si>
  <si>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</si>
  <si>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</si>
  <si>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</si>
  <si>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</si>
  <si>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</si>
  <si>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</si>
  <si>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</si>
  <si>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</si>
  <si>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</si>
  <si>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</si>
  <si>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</si>
  <si>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</si>
  <si>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</si>
  <si>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</si>
  <si>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</si>
  <si>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</si>
  <si>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</si>
  <si>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</si>
  <si>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</si>
  <si>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</si>
  <si>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</si>
  <si>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</si>
  <si>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</si>
  <si>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</si>
  <si>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</si>
  <si>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</si>
  <si>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</si>
  <si>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</si>
  <si>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</si>
  <si>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</si>
  <si>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</si>
  <si>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</si>
  <si>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</si>
  <si>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</si>
  <si>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</si>
  <si>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</si>
  <si>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</si>
  <si>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</si>
  <si>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</si>
  <si>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</si>
  <si>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</si>
  <si>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</si>
  <si>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</si>
  <si>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</si>
  <si>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</si>
  <si>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</si>
  <si>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</si>
  <si>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</si>
  <si>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</si>
  <si>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</si>
  <si>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</si>
  <si>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</si>
  <si>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</si>
  <si>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</si>
  <si>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</si>
  <si>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</si>
  <si>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</si>
  <si>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</si>
  <si>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</si>
  <si>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</si>
  <si>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</si>
  <si>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</si>
  <si>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</si>
  <si>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</si>
  <si>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</si>
  <si>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</si>
  <si>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</si>
  <si>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</si>
  <si>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</si>
  <si>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</si>
  <si>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</si>
  <si>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</si>
  <si>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</si>
  <si>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</si>
  <si>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</si>
  <si>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</si>
  <si>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</si>
  <si>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</si>
  <si>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</si>
  <si>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</si>
  <si>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</si>
  <si>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</si>
  <si>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</si>
  <si>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</si>
  <si>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</si>
  <si>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</si>
  <si>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</si>
  <si>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</si>
  <si>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</si>
  <si>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</si>
  <si>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</si>
  <si>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</si>
  <si>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</si>
  <si>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</si>
  <si>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</si>
  <si>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</si>
  <si>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</si>
  <si>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</si>
  <si>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</si>
  <si>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</si>
  <si>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</si>
  <si>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</si>
  <si>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</si>
  <si>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</si>
  <si>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</si>
  <si>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</si>
  <si>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</si>
  <si>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</si>
  <si>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</si>
  <si>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</si>
  <si>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</si>
  <si>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</si>
  <si>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</si>
  <si>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</si>
  <si>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</si>
  <si>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</si>
  <si>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</si>
  <si>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</si>
  <si>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</si>
  <si>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</si>
  <si>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</si>
  <si>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</si>
  <si>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</si>
  <si>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</si>
  <si>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</si>
  <si>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</si>
  <si>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</si>
  <si>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</si>
  <si>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</si>
  <si>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</si>
  <si>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</si>
  <si>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</si>
  <si>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</si>
  <si>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</si>
  <si>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</si>
  <si>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</si>
  <si>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</si>
  <si>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</si>
  <si>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</si>
  <si>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</si>
  <si>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</si>
  <si>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</si>
  <si>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</si>
  <si>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</si>
  <si>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</si>
  <si>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</si>
  <si>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</si>
  <si>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</si>
  <si>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</si>
  <si>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</si>
  <si>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</si>
  <si>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</si>
  <si>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</si>
  <si>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</si>
  <si>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</si>
  <si>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</si>
  <si>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</si>
  <si>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</si>
  <si>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</si>
  <si>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</si>
  <si>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</si>
  <si>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</si>
  <si>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</si>
  <si>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</si>
  <si>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</si>
  <si>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</si>
  <si>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</si>
  <si>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</si>
  <si>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</si>
  <si>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</si>
  <si>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</si>
  <si>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</si>
  <si>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</si>
  <si>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</si>
  <si>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</si>
  <si>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</si>
  <si>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</si>
  <si>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</si>
  <si>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</si>
  <si>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</si>
  <si>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</si>
  <si>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</si>
  <si>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</si>
  <si>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</si>
  <si>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</si>
  <si>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</si>
  <si>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</si>
  <si>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</si>
  <si>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</si>
  <si>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</si>
  <si>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</si>
  <si>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</si>
  <si>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</si>
  <si>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</si>
  <si>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</si>
  <si>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</si>
  <si>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</si>
  <si>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</si>
  <si>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</si>
  <si>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</si>
  <si>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</si>
  <si>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</si>
  <si>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</si>
  <si>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</si>
  <si>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</si>
  <si>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</si>
  <si>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</si>
  <si>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</si>
  <si>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</si>
  <si>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</si>
  <si>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</si>
  <si>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</si>
  <si>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</si>
  <si>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</si>
  <si>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</si>
  <si>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</si>
  <si>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</si>
  <si>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</si>
  <si>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</si>
  <si>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</si>
  <si>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</si>
  <si>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</si>
  <si>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</si>
  <si>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</si>
  <si>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</si>
  <si>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</si>
  <si>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</si>
  <si>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</si>
  <si>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</si>
  <si>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</si>
  <si>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</si>
  <si>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</si>
  <si>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</si>
  <si>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</si>
  <si>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</si>
  <si>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</si>
  <si>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</si>
  <si>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</si>
  <si>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</si>
  <si>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</si>
  <si>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</si>
  <si>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</si>
  <si>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</si>
  <si>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</si>
  <si>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</si>
  <si>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</si>
  <si>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</si>
  <si>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</si>
  <si>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</si>
  <si>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</si>
  <si>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</si>
  <si>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</si>
  <si>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</si>
  <si>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</si>
  <si>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</si>
  <si>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</si>
  <si>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</si>
  <si>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</si>
  <si>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</si>
  <si>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</si>
  <si>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</si>
  <si>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</si>
  <si>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</si>
  <si>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</si>
  <si>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</si>
  <si>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</si>
  <si>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</si>
  <si>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</si>
  <si>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</si>
  <si>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</si>
  <si>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</si>
  <si>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</si>
  <si>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</si>
  <si>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</si>
  <si>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</si>
  <si>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</si>
  <si>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</si>
  <si>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</si>
  <si>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</si>
  <si>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</si>
  <si>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</si>
  <si>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</si>
  <si>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</si>
  <si>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</si>
  <si>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</si>
  <si>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</si>
  <si>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</si>
  <si>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</si>
  <si>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</si>
  <si>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</si>
  <si>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</si>
  <si>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</si>
  <si>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</si>
  <si>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</si>
  <si>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</si>
  <si>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</si>
  <si>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</si>
  <si>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</si>
  <si>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</si>
  <si>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</si>
  <si>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</si>
  <si>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</si>
  <si>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</si>
  <si>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</si>
  <si>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</si>
  <si>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</si>
  <si>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</si>
  <si>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</si>
  <si>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</si>
  <si>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</si>
  <si>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</si>
  <si>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</si>
  <si>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</si>
  <si>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</si>
  <si>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</si>
  <si>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季度增幅（自定义）</t>
  </si>
  <si>
    <t>全部缴纳</t>
  </si>
  <si>
    <t>未包含在土地购买价格中</t>
  </si>
  <si>
    <t>项目全部</t>
  </si>
  <si>
    <t>成本法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</si>
  <si>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</si>
  <si>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</si>
  <si>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</si>
  <si>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</si>
  <si>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</si>
  <si>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</si>
  <si>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</si>
  <si>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</si>
  <si>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</si>
  <si>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</si>
  <si>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</si>
  <si>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</si>
  <si>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</si>
  <si>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</si>
  <si>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</si>
  <si>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</si>
  <si>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</si>
  <si>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</si>
  <si>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</si>
  <si>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上海沙龙新天地</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</si>
  <si>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</si>
  <si>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</si>
  <si>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</si>
  <si>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</si>
  <si>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</si>
  <si>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</si>
  <si>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</si>
  <si>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</si>
  <si>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</si>
  <si>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</si>
  <si>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</si>
  <si>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</si>
  <si>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</si>
  <si>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</si>
  <si>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</si>
  <si>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</si>
  <si>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</si>
  <si>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</si>
  <si>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</si>
  <si>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</si>
  <si>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</si>
  <si>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</si>
  <si>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</si>
  <si>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</si>
  <si>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</si>
  <si>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</si>
  <si>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</si>
  <si>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</si>
  <si>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</si>
  <si>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</si>
  <si>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</si>
  <si>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</si>
  <si>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</si>
  <si>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</si>
  <si>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</si>
  <si>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</si>
  <si>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</si>
  <si>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</si>
  <si>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</si>
  <si>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</si>
  <si>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</si>
  <si>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</si>
  <si>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</si>
  <si>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</si>
  <si>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</si>
  <si>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</si>
  <si>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</si>
  <si>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</si>
  <si>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</si>
  <si>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</si>
  <si>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</si>
  <si>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</si>
  <si>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</si>
  <si>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</si>
  <si>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</si>
  <si>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</si>
  <si>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</si>
  <si>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</si>
  <si>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</si>
  <si>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</si>
  <si>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</si>
  <si>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</si>
  <si>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</si>
  <si>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</si>
  <si>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</si>
  <si>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</si>
  <si>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</si>
  <si>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</si>
  <si>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</si>
  <si>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</si>
  <si>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</si>
  <si>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</si>
  <si>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</si>
  <si>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</si>
  <si>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</si>
  <si>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</si>
  <si>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</si>
  <si>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</si>
  <si>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</si>
  <si>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</si>
  <si>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</si>
  <si>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</si>
  <si>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</si>
  <si>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</si>
  <si>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</si>
  <si>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</si>
  <si>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</si>
  <si>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</si>
  <si>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</si>
  <si>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</si>
  <si>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</si>
  <si>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</si>
  <si>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</si>
  <si>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</si>
  <si>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</si>
  <si>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</si>
  <si>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</si>
  <si>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</si>
  <si>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</si>
  <si>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</si>
  <si>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</si>
  <si>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</si>
  <si>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</si>
  <si>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</si>
  <si>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</si>
  <si>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亦庄创意生活广场</t>
    <phoneticPr fontId="3" type="noConversion"/>
  </si>
  <si>
    <t>BDA国际广场</t>
    <phoneticPr fontId="3"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</si>
  <si>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</si>
  <si>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</si>
  <si>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</si>
  <si>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</si>
  <si>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</si>
  <si>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</si>
  <si>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</si>
  <si>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</si>
  <si>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</si>
  <si>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</si>
  <si>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</si>
  <si>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</si>
  <si>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</si>
  <si>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</si>
  <si>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</si>
  <si>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</si>
  <si>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</si>
  <si>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</si>
  <si>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</si>
  <si>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</si>
  <si>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</si>
  <si>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</si>
  <si>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</si>
  <si>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</si>
  <si>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</si>
  <si>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</si>
  <si>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</si>
  <si>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</si>
  <si>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</si>
  <si>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</si>
  <si>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</si>
  <si>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</si>
  <si>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</si>
  <si>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</si>
  <si>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</si>
  <si>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</si>
  <si>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</si>
  <si>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</si>
  <si>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</si>
  <si>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</si>
  <si>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</si>
  <si>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</si>
  <si>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</si>
  <si>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</si>
  <si>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</si>
  <si>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</si>
  <si>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</si>
  <si>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</si>
  <si>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</si>
  <si>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</si>
  <si>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</si>
  <si>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</si>
  <si>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</si>
  <si>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</si>
  <si>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</si>
  <si>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</si>
  <si>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</si>
  <si>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</si>
  <si>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</si>
  <si>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</si>
  <si>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</si>
  <si>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</si>
  <si>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</si>
  <si>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</si>
  <si>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</si>
  <si>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</si>
  <si>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</si>
  <si>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</si>
  <si>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</si>
  <si>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</si>
  <si>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</si>
  <si>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</si>
  <si>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</si>
  <si>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</si>
  <si>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</si>
  <si>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</si>
  <si>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</si>
  <si>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</si>
  <si>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</si>
  <si>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</si>
  <si>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</si>
  <si>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</si>
  <si>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</si>
  <si>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</si>
  <si>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</si>
  <si>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</si>
  <si>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</si>
  <si>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</si>
  <si>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</si>
  <si>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</si>
  <si>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</si>
  <si>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</si>
  <si>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</si>
  <si>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</si>
  <si>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</si>
  <si>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</si>
  <si>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</si>
  <si>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</si>
  <si>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</si>
  <si>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</si>
  <si>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</si>
  <si>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</si>
  <si>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</si>
  <si>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</si>
  <si>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</si>
  <si>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</si>
  <si>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</si>
  <si>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</si>
  <si>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</si>
  <si>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</si>
  <si>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</si>
  <si>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</si>
  <si>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</si>
  <si>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</si>
  <si>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</si>
  <si>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</si>
  <si>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</si>
  <si>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</si>
  <si>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</si>
  <si>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</si>
  <si>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</si>
  <si>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</si>
  <si>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荣华中路与荣京东街交汇处</t>
    <phoneticPr fontId="3" type="noConversion"/>
  </si>
  <si>
    <t>荣华南路18号</t>
    <phoneticPr fontId="3" type="noConversion"/>
  </si>
  <si>
    <t>荣华南路13号</t>
    <phoneticPr fontId="3" type="noConversion"/>
  </si>
  <si>
    <t>专业</t>
  </si>
  <si>
    <t>城市次干道——荣华南路</t>
    <phoneticPr fontId="3" type="noConversion"/>
  </si>
  <si>
    <t>设备用房</t>
    <phoneticPr fontId="3" type="noConversion"/>
  </si>
  <si>
    <t>设备用房</t>
    <phoneticPr fontId="7" type="noConversion"/>
  </si>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</sst>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50"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49" fontId="57" fillId="14" borderId="23" xfId="1" applyNumberFormat="1" applyFont="1" applyFill="1" applyBorder="1" applyAlignment="1" applyProtection="1">
      <alignment horizontal="left"/>
    </xf>
    <xf numFmtId="0" fontId="57" fillId="14" borderId="5" xfId="1" applyFont="1" applyFill="1" applyBorder="1" applyAlignment="1" applyProtection="1"/>
    <xf numFmtId="0" fontId="57" fillId="14" borderId="1" xfId="0" applyFont="1" applyFill="1" applyBorder="1" applyAlignment="1" applyProtection="1">
      <alignment horizontal="left" vertical="center"/>
    </xf>
    <xf numFmtId="0" fontId="57" fillId="14" borderId="1" xfId="0" applyFont="1" applyFill="1" applyBorder="1" applyAlignment="1" applyProtection="1">
      <alignment horizontal="center" vertical="center"/>
    </xf>
    <xf numFmtId="10" fontId="57" fillId="14" borderId="5" xfId="1" applyNumberFormat="1" applyFont="1" applyFill="1" applyBorder="1" applyAlignment="1" applyProtection="1">
      <alignment horizontal="center"/>
    </xf>
    <xf numFmtId="0" fontId="57" fillId="14" borderId="24" xfId="0" applyFont="1" applyFill="1" applyBorder="1" applyAlignment="1" applyProtection="1">
      <alignment vertical="center"/>
    </xf>
    <xf numFmtId="0" fontId="57" fillId="14" borderId="5" xfId="1" applyFont="1" applyFill="1" applyBorder="1" applyAlignment="1" applyProtection="1">
      <alignment vertical="center"/>
    </xf>
    <xf numFmtId="0" fontId="57" fillId="14" borderId="1" xfId="0" applyFont="1" applyFill="1" applyBorder="1" applyAlignment="1" applyProtection="1">
      <alignment horizontal="right" vertical="center"/>
    </xf>
    <xf numFmtId="9" fontId="57" fillId="14" borderId="5" xfId="1" applyNumberFormat="1" applyFont="1" applyFill="1" applyBorder="1" applyAlignment="1" applyProtection="1">
      <alignment horizontal="center" vertical="center"/>
    </xf>
    <xf numFmtId="0" fontId="57" fillId="14" borderId="24" xfId="0" applyFont="1" applyFill="1" applyBorder="1" applyAlignment="1" applyProtection="1">
      <alignment vertical="center" wrapText="1"/>
    </xf>
    <xf numFmtId="0" fontId="56" fillId="14" borderId="23" xfId="0" applyFont="1" applyFill="1" applyBorder="1" applyAlignment="1" applyProtection="1">
      <alignment horizontal="center" vertical="center"/>
    </xf>
    <xf numFmtId="0" fontId="56" fillId="14" borderId="5" xfId="1" applyFont="1" applyFill="1" applyBorder="1" applyAlignment="1" applyProtection="1">
      <alignment horizontal="left"/>
    </xf>
    <xf numFmtId="177" fontId="56" fillId="14" borderId="1" xfId="1"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right" vertical="center"/>
    </xf>
    <xf numFmtId="0" fontId="56" fillId="14" borderId="1" xfId="0" applyFont="1" applyFill="1" applyBorder="1" applyAlignment="1" applyProtection="1">
      <alignment horizontal="center" vertical="center"/>
    </xf>
    <xf numFmtId="0" fontId="57" fillId="14" borderId="1" xfId="0" applyNumberFormat="1" applyFont="1" applyFill="1" applyBorder="1" applyAlignment="1" applyProtection="1">
      <alignment horizontal="right" vertical="center"/>
      <protection locked="0"/>
    </xf>
    <xf numFmtId="177" fontId="57" fillId="14" borderId="1" xfId="1" applyNumberFormat="1" applyFont="1" applyFill="1" applyBorder="1" applyAlignment="1" applyProtection="1">
      <alignment horizontal="center" vertical="center"/>
      <protection locked="0"/>
    </xf>
    <xf numFmtId="10" fontId="57" fillId="14" borderId="5" xfId="1" applyNumberFormat="1"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估价对象为出让国有建设用地使用权及在建建筑物房地产，为所有。根据《国有土地使用证》[]，估价对象（分摊）出让国有建设用地使用权面积为2087.48平方米，建筑面积为11000.49平方米。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居住、综合），该项目尚在开发建设中。根据《国有土地使用证》[]，估价对象（分摊）出让国有建设用地使用权面积为2087.48平方米，规划建筑面积为11000.49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本次评估采用的主估价方法为成本法和基准地价系数修正法。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t="e">
        <f ca="1">'预评函-2'!D5</f>
        <v>#REF!</v>
      </c>
    </row>
    <row r="21" spans="1:2" s="1593" customFormat="1">
      <c r="A21" s="1591" t="s">
        <v>1236</v>
      </c>
      <c r="B21" s="1592" t="e">
        <f ca="1">'预评函-2'!D7</f>
        <v>#REF!</v>
      </c>
    </row>
    <row r="22" spans="1:2" s="1593" customFormat="1">
      <c r="A22" s="1591" t="s">
        <v>1237</v>
      </c>
      <c r="B22" s="1592" t="e">
        <f ca="1">'预评函-2'!D6</f>
        <v>#REF!</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t="e">
        <f ca="1">'预评函-2'!D13</f>
        <v>#REF!</v>
      </c>
    </row>
    <row r="31" spans="1:2" s="1593" customFormat="1">
      <c r="A31" s="1591" t="s">
        <v>1275</v>
      </c>
      <c r="B31" s="1592" t="e">
        <f ca="1">'预评函-2'!D15</f>
        <v>#REF!</v>
      </c>
    </row>
    <row r="32" spans="1:2" s="1593" customFormat="1">
      <c r="A32" s="1591" t="s">
        <v>1242</v>
      </c>
      <c r="B32" s="1592" t="e">
        <f ca="1">'预评函-2'!D14</f>
        <v>#REF!</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11000.49</v>
      </c>
    </row>
    <row r="44" spans="1:2" s="1593" customFormat="1">
      <c r="A44" s="1591" t="s">
        <v>1274</v>
      </c>
      <c r="B44" s="1592" t="str">
        <f>'预评函-3'!C2</f>
        <v>(分摊)土地面积</v>
      </c>
    </row>
    <row r="45" spans="1:2" s="1593" customFormat="1">
      <c r="A45" s="1591" t="s">
        <v>1246</v>
      </c>
      <c r="B45" s="1592">
        <f>'预评函-3'!C4</f>
        <v>2087.48</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3667</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3669</v>
      </c>
      <c r="C17" s="2015"/>
    </row>
    <row r="18" spans="1:3">
      <c r="A18" s="2014" t="s">
        <v>1768</v>
      </c>
      <c r="B18" s="2014" t="s">
        <v>3671</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70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703"/>
      <c r="B54" s="2022" t="s">
        <v>864</v>
      </c>
      <c r="C54" s="2019" t="s">
        <v>1282</v>
      </c>
    </row>
    <row r="55" spans="1:4">
      <c r="A55" s="3703"/>
      <c r="B55" s="2022" t="s">
        <v>865</v>
      </c>
      <c r="C55" s="2019" t="s">
        <v>1283</v>
      </c>
    </row>
    <row r="56" spans="1:4">
      <c r="A56" s="3703"/>
      <c r="B56" s="2022" t="s">
        <v>866</v>
      </c>
      <c r="C56" s="2019" t="s">
        <v>1287</v>
      </c>
    </row>
    <row r="57" spans="1:4">
      <c r="A57" s="3703"/>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8" sqref="C38"/>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12" t="str">
        <f>IF(B10="北京市","北京市",C10)&amp;F10&amp;IF(结果表!G1="在建","出让国有建设用地使用权及在建建筑物",IF(结果表!G1="土地","出让国有建设用地使用权",))&amp;B9&amp;"预评估"</f>
        <v>出让国有建设用地使用权及在建建筑物房地产抵押价值预评估</v>
      </c>
      <c r="C1" s="3713"/>
      <c r="D1" s="3713"/>
      <c r="E1" s="3713"/>
      <c r="F1" s="3713"/>
      <c r="G1" s="3713"/>
      <c r="H1" s="3713"/>
      <c r="I1" s="371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15"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16"/>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22" t="s">
        <v>3271</v>
      </c>
      <c r="C16" s="3723"/>
      <c r="D16" s="3724"/>
      <c r="E16" s="2084" t="s">
        <v>1803</v>
      </c>
      <c r="F16" s="3725"/>
      <c r="G16" s="3726"/>
      <c r="H16" s="3726"/>
      <c r="I16" s="3727"/>
      <c r="J16" s="2029"/>
      <c r="K16" s="2081"/>
      <c r="L16" s="2082"/>
      <c r="M16" s="2082"/>
      <c r="N16" s="2083"/>
      <c r="O16" s="2082"/>
      <c r="P16" s="2083"/>
      <c r="Q16" s="2029"/>
      <c r="R16" s="2029"/>
    </row>
    <row r="17" spans="1:22" ht="18" customHeight="1">
      <c r="A17" s="2085" t="s">
        <v>1804</v>
      </c>
      <c r="B17" s="2035" t="s">
        <v>1805</v>
      </c>
      <c r="C17" s="1053">
        <f>'数据-汇总表'!E3</f>
        <v>11000.49</v>
      </c>
      <c r="D17" s="2086" t="s">
        <v>1806</v>
      </c>
      <c r="E17" s="3728" t="s">
        <v>1807</v>
      </c>
      <c r="F17" s="3729"/>
      <c r="G17" s="3729"/>
      <c r="H17" s="3729"/>
      <c r="I17" s="3730"/>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2087.48</v>
      </c>
      <c r="D18" s="2089" t="s">
        <v>1806</v>
      </c>
      <c r="E18" s="3731" t="s">
        <v>1810</v>
      </c>
      <c r="F18" s="3732"/>
      <c r="G18" s="3732"/>
      <c r="H18" s="3732"/>
      <c r="I18" s="3733"/>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18" t="s">
        <v>1815</v>
      </c>
      <c r="C20" s="3719"/>
      <c r="D20" s="3720" t="s">
        <v>1816</v>
      </c>
      <c r="E20" s="3721"/>
      <c r="F20" s="2096" t="s">
        <v>1817</v>
      </c>
      <c r="G20" s="2042"/>
      <c r="H20" s="2042"/>
      <c r="I20" s="2042"/>
      <c r="J20" s="2042"/>
      <c r="K20" s="3717"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705" t="s">
        <v>1830</v>
      </c>
      <c r="B27" s="2061" t="s">
        <v>1831</v>
      </c>
      <c r="C27" s="2118" t="s">
        <v>3272</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705"/>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705"/>
      <c r="B29" s="2035" t="s">
        <v>1833</v>
      </c>
      <c r="C29" s="2123" t="s">
        <v>3273</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706"/>
      <c r="B30" s="2035" t="s">
        <v>1834</v>
      </c>
      <c r="C30" s="3707"/>
      <c r="D30" s="3708"/>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09" t="s">
        <v>1835</v>
      </c>
      <c r="B31" s="2125" t="s">
        <v>3274</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10"/>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10"/>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704" t="s">
        <v>1844</v>
      </c>
      <c r="T34" s="2133" t="str">
        <f>NUMBERSTRING(7-K34,1)&amp;"通"</f>
        <v>七通</v>
      </c>
      <c r="U34" s="2029"/>
      <c r="V34" s="2029"/>
    </row>
    <row r="35" spans="1:22" ht="18" customHeight="1">
      <c r="A35" s="2134"/>
      <c r="B35" s="3711" t="s">
        <v>1845</v>
      </c>
      <c r="C35" s="3711"/>
      <c r="D35" s="3711"/>
      <c r="E35" s="3711"/>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704"/>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c r="C38" s="2141" t="s">
        <v>3275</v>
      </c>
      <c r="D38" s="2141" t="s">
        <v>3275</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2087.48</v>
      </c>
      <c r="B3" s="14">
        <f>IF(C3="否",G5-AT5,G5)</f>
        <v>11000.49</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11000.49</v>
      </c>
      <c r="H5" s="16">
        <f t="shared" ref="H5:AT5" si="0">SUM(H13:H656)</f>
        <v>11000.49</v>
      </c>
      <c r="I5" s="16">
        <f t="shared" si="0"/>
        <v>11000.49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11000.49</v>
      </c>
      <c r="BA5" s="18">
        <f t="shared" si="1"/>
        <v>11000.49</v>
      </c>
      <c r="BB5" s="18">
        <f t="shared" si="1"/>
        <v>11000.49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1882</v>
      </c>
      <c r="B6" s="2173"/>
      <c r="C6" s="2173"/>
      <c r="D6" s="2174"/>
      <c r="E6" s="16">
        <f>H6+AC6+AT6</f>
        <v>2087.48</v>
      </c>
      <c r="F6" s="16" t="s">
        <v>1</v>
      </c>
      <c r="G6" s="16" t="s">
        <v>2</v>
      </c>
      <c r="H6" s="20">
        <f>SUMIF(I$12:AB$12,"总值",I6:AB6)</f>
        <v>2087.48</v>
      </c>
      <c r="I6" s="16">
        <f t="shared" ref="I6:AB6" si="2">ROUND($A$3*I5/$B$3,2)</f>
        <v>2087.48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2087.48</v>
      </c>
      <c r="AZ6" s="16" t="s">
        <v>3</v>
      </c>
      <c r="BA6" s="16">
        <f>ROUND($AY$6*BA5/$AZ$5,2)</f>
        <v>2087.48</v>
      </c>
      <c r="BB6" s="16">
        <f>ROUND($AY$6*BB5/$AZ$5,2)</f>
        <v>2087.48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3276</v>
      </c>
      <c r="J9" s="980"/>
      <c r="K9" s="2190" t="s">
        <v>3276</v>
      </c>
      <c r="L9" s="980"/>
      <c r="M9" s="2190" t="s">
        <v>3277</v>
      </c>
      <c r="N9" s="980"/>
      <c r="O9" s="2190" t="s">
        <v>3277</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3278</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3935</v>
      </c>
      <c r="D13" s="2946" t="s">
        <v>3042</v>
      </c>
      <c r="E13" s="16">
        <f>IF($C$3="是",ROUND($A$3*G13/$B$3,2),ROUND($A$3*(G13-AT13)/$B$3,2))</f>
        <v>2087.48</v>
      </c>
      <c r="F13" s="32"/>
      <c r="G13" s="33">
        <f>H13+AC13+AT13</f>
        <v>11000.49</v>
      </c>
      <c r="H13" s="20">
        <f>SUMIF(I$12:AB$12,"总值",I13:AB13)</f>
        <v>11000.49</v>
      </c>
      <c r="I13" s="2942">
        <v>11000.49</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设备用房</v>
      </c>
      <c r="AY13" s="1806">
        <f>ROUND($AY$6*AZ13/$AZ$5,2)</f>
        <v>2087.48</v>
      </c>
      <c r="AZ13" s="16">
        <f>BA13+BL13</f>
        <v>11000.49</v>
      </c>
      <c r="BA13" s="16">
        <f>SUM(BB13:BK13)</f>
        <v>11000.49</v>
      </c>
      <c r="BB13" s="16">
        <f>IF($D13="是",I13-J13,0)</f>
        <v>11000.49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1"/>
      <c r="C14" s="2944"/>
      <c r="D14" s="2946"/>
      <c r="E14" s="16">
        <f>IF($C$3="是",ROUND($A$3*G14/$B$3,2),ROUND($A$3*(G14-AT14)/$B$3,2))</f>
        <v>0</v>
      </c>
      <c r="F14" s="32"/>
      <c r="G14" s="33">
        <f>H14+AC14+AT14</f>
        <v>0</v>
      </c>
      <c r="H14" s="20">
        <f>SUMIF(I$12:AB$12,"总值",I14:AB14)</f>
        <v>0</v>
      </c>
      <c r="I14" s="294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c r="D15" s="2946"/>
      <c r="E15" s="16">
        <f>IF($C$3="是",ROUND($A$3*G15/$B$3,2),ROUND($A$3*(G15-AT15)/$B$3,2))</f>
        <v>0</v>
      </c>
      <c r="F15" s="32"/>
      <c r="G15" s="33">
        <f>H15+AC15+AT15</f>
        <v>0</v>
      </c>
      <c r="H15" s="20">
        <f>SUMIF(I$12:AB$12,"总值",I15:AB15)</f>
        <v>0</v>
      </c>
      <c r="I15" s="294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c r="D16" s="2946"/>
      <c r="E16" s="16">
        <f>IF($C$3="是",ROUND($A$3*G16/$B$3,2),ROUND($A$3*(G16-AT16)/$B$3,2))</f>
        <v>0</v>
      </c>
      <c r="F16" s="32"/>
      <c r="G16" s="33">
        <f>H16+AC16+AT16</f>
        <v>0</v>
      </c>
      <c r="H16" s="20">
        <f>SUMIF(I$12:AB$12,"总值",I16:AB16)</f>
        <v>0</v>
      </c>
      <c r="I16" s="294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281"/>
      <c r="C17" s="3278"/>
      <c r="D17" s="2946"/>
      <c r="E17" s="16">
        <f>IF($C$3="是",ROUND($A$3*G17/$B$3,2),ROUND($A$3*(G17-AT17)/$B$3,2))</f>
        <v>0</v>
      </c>
      <c r="F17" s="32"/>
      <c r="G17" s="33">
        <f>H17+AC17+AT17</f>
        <v>0</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281"/>
      <c r="C18" s="3279"/>
      <c r="D18" s="2946"/>
      <c r="E18" s="35">
        <f t="shared" ref="E18:E112" si="7">IF($C$3="是",ROUND($A$3*G18/$B$3,2),ROUND($A$3*(G18-AT18)/$B$3,2))</f>
        <v>0</v>
      </c>
      <c r="F18" s="36"/>
      <c r="G18" s="37">
        <f t="shared" ref="G18:G109" si="8">H18+AC18+AT18</f>
        <v>0</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79"/>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9"/>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9"/>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9"/>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9"/>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9"/>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9"/>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9"/>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9"/>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9"/>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9"/>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9"/>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9"/>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9"/>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80"/>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80"/>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80"/>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80"/>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80"/>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80"/>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80"/>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80"/>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80"/>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80"/>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1"/>
      <c r="C43" s="3280"/>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80"/>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80"/>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80"/>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80"/>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80"/>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80"/>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80"/>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80"/>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80"/>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80"/>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80"/>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80"/>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1"/>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1"/>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3664</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3660</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3665</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3663</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34" t="s">
        <v>0</v>
      </c>
      <c r="B1" s="3734" t="s">
        <v>4</v>
      </c>
      <c r="C1" s="3734" t="s">
        <v>5</v>
      </c>
      <c r="D1" s="3735" t="s">
        <v>53</v>
      </c>
      <c r="E1" s="3735" t="s">
        <v>54</v>
      </c>
      <c r="F1" s="3735"/>
      <c r="G1" s="3735"/>
      <c r="H1" s="3735"/>
      <c r="I1" s="3735"/>
      <c r="J1" s="3735"/>
      <c r="K1" s="3735"/>
      <c r="L1" s="3735"/>
      <c r="M1" s="3735"/>
    </row>
    <row r="2" spans="1:13" ht="27" customHeight="1">
      <c r="A2" s="3734"/>
      <c r="B2" s="3734"/>
      <c r="C2" s="3734"/>
      <c r="D2" s="3735"/>
      <c r="E2" s="3735" t="s">
        <v>37</v>
      </c>
      <c r="F2" s="3735" t="s">
        <v>38</v>
      </c>
      <c r="G2" s="3735"/>
      <c r="H2" s="3735"/>
      <c r="I2" s="3735"/>
      <c r="J2" s="3735" t="s">
        <v>39</v>
      </c>
      <c r="K2" s="3735"/>
      <c r="L2" s="3735"/>
      <c r="M2" s="3735"/>
    </row>
    <row r="3" spans="1:13" ht="28.5">
      <c r="A3" s="3734"/>
      <c r="B3" s="3734"/>
      <c r="C3" s="3734"/>
      <c r="D3" s="3735"/>
      <c r="E3" s="37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35" t="s">
        <v>55</v>
      </c>
      <c r="B9" s="3735"/>
      <c r="C9" s="37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45" t="s">
        <v>1941</v>
      </c>
      <c r="B2" s="3745"/>
      <c r="C2" s="3745"/>
      <c r="D2" s="966" t="s">
        <v>1917</v>
      </c>
      <c r="E2" s="2225" t="s">
        <v>1918</v>
      </c>
      <c r="F2" s="1391"/>
      <c r="G2" s="2226"/>
      <c r="H2" s="2227"/>
      <c r="I2" s="2228" t="s">
        <v>1942</v>
      </c>
      <c r="J2" s="1391"/>
      <c r="K2" s="1391"/>
      <c r="L2" s="1391"/>
      <c r="M2" s="1391"/>
      <c r="N2" s="1426"/>
      <c r="O2" s="1391"/>
      <c r="P2" s="1391"/>
    </row>
    <row r="3" spans="1:16" ht="15.75" thickBot="1">
      <c r="A3" s="3746" t="s">
        <v>1915</v>
      </c>
      <c r="B3" s="3746"/>
      <c r="C3" s="3746"/>
      <c r="D3" s="46">
        <f>'数据-基础表'!AY6</f>
        <v>2087.48</v>
      </c>
      <c r="E3" s="46">
        <f>'数据-基础表'!AZ5</f>
        <v>11000.49</v>
      </c>
      <c r="F3" s="1391"/>
      <c r="G3" s="1398"/>
      <c r="H3" s="1246" t="s">
        <v>1916</v>
      </c>
      <c r="I3" s="55">
        <f>ROUND('数据-基础表'!B3/'数据-基础表'!A3,2)</f>
        <v>5.27</v>
      </c>
      <c r="J3" s="1391"/>
      <c r="K3" s="1391"/>
      <c r="L3" s="1391"/>
      <c r="M3" s="1391"/>
      <c r="N3" s="1426"/>
      <c r="O3" s="1391"/>
      <c r="P3" s="1391"/>
    </row>
    <row r="4" spans="1:16" ht="15">
      <c r="A4" s="3747"/>
      <c r="B4" s="3748"/>
      <c r="C4" s="3749"/>
      <c r="D4" s="2229" t="s">
        <v>1917</v>
      </c>
      <c r="E4" s="2230" t="s">
        <v>1918</v>
      </c>
      <c r="F4" s="1391"/>
      <c r="G4" s="2231" t="s">
        <v>1943</v>
      </c>
      <c r="H4" s="1246" t="s">
        <v>1923</v>
      </c>
      <c r="I4" s="55">
        <f>ROUND(SUMIF('数据-基础表'!I9:AS9,"地上",'数据-基础表'!I5:AS5)/'数据-基础表'!A3,2)</f>
        <v>5.27</v>
      </c>
      <c r="J4" s="1391"/>
      <c r="K4" s="1391"/>
      <c r="L4" s="1391"/>
      <c r="M4" s="1391"/>
      <c r="N4" s="1426"/>
      <c r="O4" s="1391"/>
      <c r="P4" s="1391"/>
    </row>
    <row r="5" spans="1:16">
      <c r="A5" s="47" t="s">
        <v>1919</v>
      </c>
      <c r="B5" s="3750" t="s">
        <v>1920</v>
      </c>
      <c r="C5" s="3750"/>
      <c r="D5" s="48">
        <f>ROUND($D$3*E5/$E$3,2)</f>
        <v>0</v>
      </c>
      <c r="E5" s="49">
        <f>SUMIF('数据-基础表'!$11:$11,"住宅",'数据-基础表'!$5:$5)</f>
        <v>0</v>
      </c>
      <c r="F5" s="1391"/>
      <c r="G5" s="1398"/>
      <c r="H5" s="1246" t="s">
        <v>1916</v>
      </c>
      <c r="I5" s="55">
        <f>ROUND(E31/D31,2)</f>
        <v>5.27</v>
      </c>
      <c r="J5" s="1391"/>
      <c r="K5" s="1391"/>
      <c r="L5" s="1391"/>
      <c r="M5" s="1391"/>
      <c r="N5" s="1391"/>
      <c r="O5" s="1391"/>
      <c r="P5" s="1391"/>
    </row>
    <row r="6" spans="1:16" ht="15" thickBot="1">
      <c r="A6" s="2232"/>
      <c r="B6" s="3750" t="s">
        <v>1921</v>
      </c>
      <c r="C6" s="3750"/>
      <c r="D6" s="48">
        <f>ROUND($D$3*E6/$E$3,2)</f>
        <v>2087.48</v>
      </c>
      <c r="E6" s="49">
        <f>E3-E5</f>
        <v>11000.49</v>
      </c>
      <c r="F6" s="1391"/>
      <c r="G6" s="2233" t="s">
        <v>1922</v>
      </c>
      <c r="H6" s="1398" t="s">
        <v>1923</v>
      </c>
      <c r="I6" s="938">
        <f>ROUND(F31/D31,2)</f>
        <v>5.27</v>
      </c>
      <c r="J6" s="1391"/>
      <c r="K6" s="1391"/>
      <c r="L6" s="1391"/>
      <c r="M6" s="1391"/>
      <c r="N6" s="1391"/>
      <c r="O6" s="1391"/>
      <c r="P6" s="1391"/>
    </row>
    <row r="7" spans="1:16" ht="15">
      <c r="A7" s="3742"/>
      <c r="B7" s="3743"/>
      <c r="C7" s="3744"/>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2087.48</v>
      </c>
      <c r="E8" s="51">
        <f>SUMIF('数据-基础表'!BB10:BK10,"地上",'数据-基础表'!BB5:BK5)</f>
        <v>11000.49</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2087.48</v>
      </c>
      <c r="E16" s="53">
        <f>SUM(E8:E15)</f>
        <v>11000.49</v>
      </c>
      <c r="F16" s="1391"/>
      <c r="G16" s="2235"/>
      <c r="H16" s="2238" t="s">
        <v>1945</v>
      </c>
      <c r="I16" s="2239"/>
      <c r="J16" s="1391"/>
      <c r="K16" s="3739" t="s">
        <v>1945</v>
      </c>
      <c r="L16" s="3740"/>
      <c r="M16" s="3740"/>
      <c r="N16" s="3740"/>
      <c r="O16" s="3740"/>
      <c r="P16" s="3741"/>
    </row>
    <row r="17" spans="1:19" ht="15">
      <c r="A17" s="2240" t="s">
        <v>1946</v>
      </c>
      <c r="B17" s="2241" t="s">
        <v>1947</v>
      </c>
      <c r="C17" s="2242" t="s">
        <v>1948</v>
      </c>
      <c r="D17" s="2243" t="s">
        <v>1936</v>
      </c>
      <c r="E17" s="2244" t="s">
        <v>1937</v>
      </c>
      <c r="F17" s="2245"/>
      <c r="G17" s="2246"/>
      <c r="H17" s="2247" t="s">
        <v>1949</v>
      </c>
      <c r="I17" s="2248" t="s">
        <v>1934</v>
      </c>
      <c r="J17" s="1391"/>
      <c r="K17" s="3736" t="s">
        <v>1950</v>
      </c>
      <c r="L17" s="3737"/>
      <c r="M17" s="3738"/>
      <c r="N17" s="3736" t="s">
        <v>1951</v>
      </c>
      <c r="O17" s="3737"/>
      <c r="P17" s="3738"/>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3936</v>
      </c>
      <c r="D19" s="48">
        <f>ROUND($D$3*E19/$E$3,2)</f>
        <v>2087.48</v>
      </c>
      <c r="E19" s="56">
        <f t="shared" ref="E19:E26" si="1">SUM(F19:G19)</f>
        <v>11000.49</v>
      </c>
      <c r="F19" s="57">
        <v>11000.49</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2087.48</v>
      </c>
      <c r="S19" s="1247">
        <f t="shared" si="5"/>
        <v>11000.49</v>
      </c>
    </row>
    <row r="20" spans="1:19">
      <c r="A20" s="2260"/>
      <c r="B20" s="50" t="s">
        <v>1963</v>
      </c>
      <c r="C20" s="2945"/>
      <c r="D20" s="48">
        <f t="shared" ref="D20:D26" si="6">ROUND($D$3*E20/$E$3,2)</f>
        <v>0</v>
      </c>
      <c r="E20" s="56">
        <f t="shared" si="1"/>
        <v>0</v>
      </c>
      <c r="F20" s="57">
        <f>'数据-基础表'!K14</f>
        <v>0</v>
      </c>
      <c r="G20" s="58"/>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0</v>
      </c>
    </row>
    <row r="21" spans="1:19">
      <c r="A21" s="2260"/>
      <c r="B21" s="50" t="s">
        <v>1963</v>
      </c>
      <c r="C21" s="2945"/>
      <c r="D21" s="48">
        <f t="shared" si="6"/>
        <v>0</v>
      </c>
      <c r="E21" s="56">
        <f t="shared" si="1"/>
        <v>0</v>
      </c>
      <c r="F21" s="57"/>
      <c r="G21" s="58">
        <f>'数据-基础表'!M15</f>
        <v>0</v>
      </c>
      <c r="H21" s="723">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1963</v>
      </c>
      <c r="C22" s="3291"/>
      <c r="D22" s="48">
        <f t="shared" si="6"/>
        <v>0</v>
      </c>
      <c r="E22" s="56">
        <f t="shared" si="1"/>
        <v>0</v>
      </c>
      <c r="F22" s="61"/>
      <c r="G22" s="62">
        <f>'数据-基础表'!O16</f>
        <v>0</v>
      </c>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1964</v>
      </c>
      <c r="D27" s="1392">
        <f>SUM(D19:D26)</f>
        <v>2087.48</v>
      </c>
      <c r="E27" s="1393">
        <f>IF(SUM(E19:E26)='数据-基础表'!BA5,SUM(E19:E26),IF(F27="地上面积有误","面积有误","地下面积有误"))</f>
        <v>11000.49</v>
      </c>
      <c r="F27" s="1392">
        <f>IF(SUM(F19:F26)=E8,SUM(F19:F26),"地上面积有误")</f>
        <v>11000.49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2087.48</v>
      </c>
      <c r="S27" s="1246">
        <f>IF(SUM(S19:S26)=$E$3,SUM(S19:S26),SUM(S19:S26)&amp;"误差"&amp;ROUND(SUM(S19:S26)-E3,2))</f>
        <v>11000.49</v>
      </c>
    </row>
    <row r="28" spans="1:19">
      <c r="A28" s="2260"/>
      <c r="B28" s="50" t="s">
        <v>1965</v>
      </c>
      <c r="C28" s="1258" t="s">
        <v>1966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1968</v>
      </c>
      <c r="D31" s="729">
        <f>D27+D30</f>
        <v>2087.48</v>
      </c>
      <c r="E31" s="729">
        <f>E27+E30</f>
        <v>11000.49</v>
      </c>
      <c r="F31" s="730">
        <f>F27+F30</f>
        <v>11000.49</v>
      </c>
      <c r="G31" s="731">
        <f>G27+G30</f>
        <v>0</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3675</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设备用房</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v>
      </c>
      <c r="H6" s="802"/>
      <c r="I6" s="802"/>
      <c r="J6" s="74"/>
      <c r="K6" s="1250">
        <f>SUMIF('数据-汇总表'!C$19:C$33,A6,'数据-汇总表'!E$19:E$33)</f>
        <v>11000.49</v>
      </c>
      <c r="L6" s="803">
        <v>2000</v>
      </c>
      <c r="M6" s="75">
        <f t="shared" ref="M6:M14" si="0">ROUND(K6*L6/10000,0)</f>
        <v>2200</v>
      </c>
      <c r="N6" s="801">
        <v>0.98</v>
      </c>
      <c r="O6" s="75">
        <f>IF($N$5="成新度","——",ROUND(M6*N6,0))</f>
        <v>2156</v>
      </c>
      <c r="P6" s="76">
        <f>IF($N$5="成新度","——",M6-O6)</f>
        <v>44</v>
      </c>
      <c r="Q6" s="804">
        <v>0.01</v>
      </c>
      <c r="R6" s="77">
        <f ca="1">SUMIF('数据-汇总表'!C$19:C$33,A6,'数据-汇总表'!R$19:R$27)</f>
        <v>2087.48</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t="e">
        <f ca="1">IF(AN6="",0,SUMIF(INDIRECT("'"&amp;AN6&amp;"'"&amp;"!E:E"),$AE$5,INDIRECT("'"&amp;AN6&amp;"'"&amp;"!F:F")))</f>
        <v>#N/A</v>
      </c>
      <c r="AF6" s="1804"/>
      <c r="AG6" s="147">
        <f>IF(AF6="",0,AE6-AF6)</f>
        <v>0</v>
      </c>
      <c r="AH6" s="83"/>
      <c r="AI6" s="85">
        <v>365</v>
      </c>
      <c r="AJ6" s="86"/>
      <c r="AK6" s="87">
        <v>0.02</v>
      </c>
      <c r="AL6" s="88">
        <v>2E-3</v>
      </c>
      <c r="AM6" s="89">
        <v>0.02</v>
      </c>
      <c r="AN6" s="2306" t="s">
        <v>3668</v>
      </c>
      <c r="AO6" s="55" t="e">
        <f ca="1">SUMIF(INDIRECT("'"&amp;AN6&amp;"'"&amp;"!A:A"),"总价",INDIRECT("'"&amp;AN6&amp;"'"&amp;"!B:B"))</f>
        <v>#N/A</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t="s">
        <v>1378</v>
      </c>
      <c r="D7" s="1050">
        <f>SUMIF(项目基本情况!D$12:I$12,C7,项目基本情况!D$14:I$14)</f>
        <v>40</v>
      </c>
      <c r="E7" s="1047" t="str">
        <f>IF(B7="","",SUMIF(项目基本情况!D$12:I$12,C7,项目基本情况!D$13:I$13))</f>
        <v/>
      </c>
      <c r="F7" s="72">
        <f>SUMIF(项目基本情况!D$12:I$12,C7,项目基本情况!D$15:I$15)</f>
        <v>31.46</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t="e">
        <f t="shared" ref="AE7:AE13" ca="1" si="6">IF(AN7="",0,SUMIF(INDIRECT("'"&amp;AN7&amp;"'"&amp;"!E:E"),$AE$5,INDIRECT("'"&amp;AN7&amp;"'"&amp;"!F:F")))</f>
        <v>#N/A</v>
      </c>
      <c r="AF7" s="1804"/>
      <c r="AG7" s="147">
        <f t="shared" ref="AG7:AG13" si="7">IF(AF7="",0,AE7-AF7)</f>
        <v>0</v>
      </c>
      <c r="AH7" s="83"/>
      <c r="AI7" s="85">
        <v>365</v>
      </c>
      <c r="AJ7" s="86"/>
      <c r="AK7" s="87">
        <v>0.02</v>
      </c>
      <c r="AL7" s="88">
        <v>2E-3</v>
      </c>
      <c r="AM7" s="89">
        <v>0.02</v>
      </c>
      <c r="AN7" s="2306" t="s">
        <v>3670</v>
      </c>
      <c r="AO7" s="55" t="e">
        <f t="shared" ref="AO7:AO13" ca="1" si="8">SUMIF(INDIRECT("'"&amp;AN7&amp;"'"&amp;"!A:A"),"总价",INDIRECT("'"&amp;AN7&amp;"'"&amp;"!B:B"))</f>
        <v>#N/A</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t="s">
        <v>3278</v>
      </c>
      <c r="D8" s="1050">
        <f>SUMIF(项目基本情况!D$12:I$12,C8,项目基本情况!D$14:I$14)</f>
        <v>50</v>
      </c>
      <c r="E8" s="1047" t="str">
        <f>IF(B8="","",SUMIF(项目基本情况!D$12:I$12,C8,项目基本情况!D$13:I$13))</f>
        <v/>
      </c>
      <c r="F8" s="72">
        <f>SUMIF(项目基本情况!D$12:I$12,C8,项目基本情况!D$15:I$15)</f>
        <v>41.47</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
      <c r="Z8" s="81"/>
      <c r="AA8" s="74"/>
      <c r="AB8" s="74"/>
      <c r="AC8" s="1260"/>
      <c r="AD8" s="82"/>
      <c r="AE8" s="1261" t="e">
        <f t="shared" ca="1" si="6"/>
        <v>#N/A</v>
      </c>
      <c r="AF8" s="1804"/>
      <c r="AG8" s="147">
        <f t="shared" si="7"/>
        <v>0</v>
      </c>
      <c r="AH8" s="807"/>
      <c r="AI8" s="85">
        <v>365</v>
      </c>
      <c r="AJ8" s="86"/>
      <c r="AK8" s="87">
        <v>0.02</v>
      </c>
      <c r="AL8" s="88">
        <v>2E-3</v>
      </c>
      <c r="AM8" s="89">
        <v>0.02</v>
      </c>
      <c r="AN8" s="2306" t="s">
        <v>3666</v>
      </c>
      <c r="AO8" s="55" t="e">
        <f t="shared" ca="1" si="8"/>
        <v>#N/A</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t="s">
        <v>1378</v>
      </c>
      <c r="D9" s="1050">
        <f>SUMIF(项目基本情况!D$12:I$12,C9,项目基本情况!D$14:I$14)</f>
        <v>40</v>
      </c>
      <c r="E9" s="1047" t="str">
        <f>IF(B9="","",SUMIF(项目基本情况!D$12:I$12,C9,项目基本情况!D$13:I$13))</f>
        <v/>
      </c>
      <c r="F9" s="72">
        <f>SUMIF(项目基本情况!D$12:I$12,C9,项目基本情况!D$15:I$15)</f>
        <v>31.46</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t="e">
        <f>ROUND(SUMPRODUCT(G6:G13,K6:K13)/SUMPRODUCT((G6:G13&gt;0)*(K6:K13)),3)</f>
        <v>#DIV/0!</v>
      </c>
      <c r="H16" s="99" t="e">
        <f>ROUND(SUMPRODUCT(H6:H13,K6:K13)/SUMPRODUCT((H6:H13&gt;0)*(K6:K13)),3)</f>
        <v>#DIV/0!</v>
      </c>
      <c r="I16" s="100"/>
      <c r="J16" s="100"/>
      <c r="K16" s="101">
        <f>SUM(K6:K15)</f>
        <v>11000.49</v>
      </c>
      <c r="L16" s="102">
        <f>ROUND(M16*10000/SUM(K6:K14),0)</f>
        <v>2000</v>
      </c>
      <c r="M16" s="102">
        <f>SUM(M6:M14)</f>
        <v>2200</v>
      </c>
      <c r="N16" s="103">
        <f>ROUND(SUMPRODUCT(M6:M14,N6:N14)/M16,3)</f>
        <v>0.98</v>
      </c>
      <c r="O16" s="102">
        <f>SUM(O6:O14)</f>
        <v>2156</v>
      </c>
      <c r="P16" s="102">
        <f>SUM(P6:P14)</f>
        <v>44</v>
      </c>
      <c r="Q16" s="104">
        <f>ROUND(SUMPRODUCT(Q6:Q13,K6:K13)/SUMPRODUCT((Q6:Q13&gt;0)*(K6:K13)),2)</f>
        <v>0.01</v>
      </c>
      <c r="R16" s="1254">
        <f ca="1">SUM(R6:R13)</f>
        <v>2087.48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1.8</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1.8</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0.19999999999999996</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200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200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51" t="s">
        <v>2086</v>
      </c>
      <c r="B1" s="3752"/>
      <c r="C1" s="3752"/>
      <c r="D1" s="3752"/>
      <c r="E1" s="3752"/>
      <c r="F1" s="3752"/>
      <c r="G1" s="375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4" t="s">
        <v>3681</v>
      </c>
      <c r="D4" s="2368"/>
      <c r="E4" s="2371"/>
      <c r="F4" s="42" t="s">
        <v>2095</v>
      </c>
      <c r="G4" s="2372" t="s">
        <v>2096</v>
      </c>
      <c r="H4" s="2365"/>
      <c r="I4" s="2365"/>
      <c r="J4" s="2365"/>
      <c r="K4" s="2365"/>
      <c r="L4" s="2365"/>
      <c r="M4" s="2365"/>
      <c r="N4" s="2365"/>
      <c r="O4" s="2365"/>
      <c r="P4" s="2365"/>
      <c r="Q4" s="2365"/>
      <c r="R4" s="2365"/>
    </row>
    <row r="5" spans="1:29" ht="27">
      <c r="A5" s="431"/>
      <c r="B5" s="1795" t="s">
        <v>2097</v>
      </c>
      <c r="C5" s="3294" t="s">
        <v>3682</v>
      </c>
      <c r="D5" s="2368"/>
      <c r="E5" s="2371"/>
      <c r="F5" s="1795" t="s">
        <v>2098</v>
      </c>
      <c r="G5" s="2372" t="s">
        <v>2099</v>
      </c>
      <c r="H5" s="2365"/>
      <c r="I5" s="2365"/>
      <c r="J5" s="2365"/>
      <c r="K5" s="2365"/>
      <c r="L5" s="2365"/>
      <c r="M5" s="2365"/>
      <c r="N5" s="2365"/>
      <c r="O5" s="2365"/>
      <c r="P5" s="2365"/>
      <c r="Q5" s="2365"/>
      <c r="R5" s="2365"/>
    </row>
    <row r="6" spans="1:29" ht="40.5">
      <c r="A6" s="431"/>
      <c r="B6" s="1795" t="s">
        <v>2100</v>
      </c>
      <c r="C6" s="3295" t="s">
        <v>3683</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5" t="s">
        <v>3684</v>
      </c>
      <c r="D7" s="2373"/>
      <c r="E7" s="2374"/>
      <c r="F7" s="2375" t="s">
        <v>2103</v>
      </c>
      <c r="G7" s="2376" t="s">
        <v>2104</v>
      </c>
      <c r="H7" s="2365"/>
      <c r="I7" s="2365"/>
      <c r="J7" s="2365"/>
      <c r="K7" s="2365"/>
      <c r="L7" s="2365"/>
      <c r="M7" s="2365"/>
      <c r="N7" s="2365"/>
      <c r="O7" s="2365"/>
      <c r="P7" s="2365"/>
      <c r="Q7" s="2365"/>
      <c r="R7" s="2365"/>
    </row>
    <row r="8" spans="1:29" ht="27">
      <c r="A8" s="431"/>
      <c r="B8" s="1795" t="s">
        <v>2101</v>
      </c>
      <c r="C8" s="3295" t="s">
        <v>3685</v>
      </c>
      <c r="D8" s="2373"/>
      <c r="E8" s="2373"/>
      <c r="F8" s="1132"/>
      <c r="G8" s="1132"/>
      <c r="H8" s="2365"/>
      <c r="I8" s="2365"/>
      <c r="J8" s="2365"/>
      <c r="K8" s="2365"/>
      <c r="L8" s="2365"/>
      <c r="M8" s="2365"/>
      <c r="N8" s="2365"/>
      <c r="O8" s="2365"/>
      <c r="P8" s="2365"/>
      <c r="Q8" s="2365"/>
      <c r="R8" s="2365"/>
    </row>
    <row r="9" spans="1:29" ht="27">
      <c r="A9" s="431"/>
      <c r="B9" s="1795" t="s">
        <v>2105</v>
      </c>
      <c r="C9" s="3294" t="s">
        <v>3771</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2" sqref="A32"/>
    </sheetView>
  </sheetViews>
  <sheetFormatPr defaultRowHeight="13.5"/>
  <cols>
    <col min="1" max="1" width="23.375" style="1738" customWidth="1"/>
    <col min="2" max="9" width="15.75" style="1738" customWidth="1"/>
    <col min="10" max="16384" width="9" style="1738"/>
  </cols>
  <sheetData>
    <row r="1" spans="1:10" ht="16.5">
      <c r="A1" s="1743" t="s">
        <v>1366</v>
      </c>
      <c r="B1" s="1743">
        <f>SUM(B14:B23)</f>
        <v>11000.49</v>
      </c>
      <c r="C1" s="1742"/>
      <c r="D1" s="1742"/>
      <c r="E1" s="1742"/>
      <c r="F1" s="1742"/>
      <c r="G1" s="1740"/>
    </row>
    <row r="2" spans="1:10" ht="16.5">
      <c r="A2" s="1743" t="s">
        <v>1354</v>
      </c>
      <c r="B2" s="1743">
        <f>SUM(C14:C23)</f>
        <v>2087.48</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t="e">
        <f ca="1">SUM(D14:D23)</f>
        <v>#REF!</v>
      </c>
      <c r="C5" s="1743" t="e">
        <f ca="1">ROUND(B5*10000/$B$1,0)</f>
        <v>#REF!</v>
      </c>
      <c r="D5" s="1743" t="e">
        <f ca="1">ROUND(B5*10000/$B$2,0)</f>
        <v>#REF!</v>
      </c>
      <c r="E5" s="1742"/>
      <c r="F5" s="1740"/>
      <c r="G5" s="1740"/>
    </row>
    <row r="6" spans="1:10" ht="16.5">
      <c r="A6" s="1743" t="s">
        <v>1357</v>
      </c>
      <c r="B6" s="1743" t="e">
        <f ca="1">SUM(G14:G23)</f>
        <v>#REF!</v>
      </c>
      <c r="C6" s="1743" t="e">
        <f ca="1">ROUND(B6*10000/$B$1,0)</f>
        <v>#REF!</v>
      </c>
      <c r="D6" s="1743" t="e">
        <f ca="1">ROUND(B6*10000/$B$2,0)</f>
        <v>#REF!</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11000.49</v>
      </c>
      <c r="C14" s="1741">
        <f>结果表!C118</f>
        <v>2087.48</v>
      </c>
      <c r="D14" s="1741" t="e">
        <f ca="1">结果表!H118</f>
        <v>#REF!</v>
      </c>
      <c r="E14" s="1741" t="e">
        <f ca="1">ROUND(D14*10000/B14,0)</f>
        <v>#REF!</v>
      </c>
      <c r="F14" s="1741" t="e">
        <f ca="1">ROUND(D14*10000/C14,0)</f>
        <v>#REF!</v>
      </c>
      <c r="G14" s="1741" t="e">
        <f ca="1">结果表!D122</f>
        <v>#REF!</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3679</v>
      </c>
    </row>
    <row r="2" spans="1:12" ht="21.75" customHeight="1" thickBot="1">
      <c r="A2" s="3786" t="str">
        <f>项目基本情况!S2</f>
        <v>出让国有建设用地使用权及在建建筑物房地产</v>
      </c>
      <c r="B2" s="3787"/>
      <c r="C2" s="3787"/>
      <c r="D2" s="3787"/>
      <c r="E2" s="3787"/>
      <c r="F2" s="3787"/>
      <c r="G2" s="3787"/>
      <c r="H2" s="3787"/>
      <c r="I2" s="3788"/>
    </row>
    <row r="3" spans="1:12" ht="12.75">
      <c r="A3" s="3790" t="s">
        <v>2123</v>
      </c>
      <c r="B3" s="3791"/>
      <c r="C3" s="3791"/>
      <c r="D3" s="3791"/>
      <c r="E3" s="3791"/>
      <c r="F3" s="3791"/>
      <c r="G3" s="3791"/>
      <c r="H3" s="3791"/>
      <c r="I3" s="3791"/>
    </row>
    <row r="4" spans="1:12" ht="14.25">
      <c r="A4" s="2422" t="s">
        <v>2124</v>
      </c>
      <c r="B4" s="2423" t="s">
        <v>2125</v>
      </c>
      <c r="C4" s="2424" t="s">
        <v>3680</v>
      </c>
      <c r="D4" s="2424" t="s">
        <v>3937</v>
      </c>
      <c r="E4" s="3783" t="s">
        <v>2126</v>
      </c>
      <c r="F4" s="3784"/>
      <c r="G4" s="3784"/>
      <c r="H4" s="3784"/>
      <c r="I4" s="379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66" t="s">
        <v>2127</v>
      </c>
      <c r="B5" s="3704">
        <v>25</v>
      </c>
      <c r="C5" s="3769"/>
      <c r="D5" s="3789"/>
      <c r="E5" s="140" t="s">
        <v>2128</v>
      </c>
      <c r="F5" s="2426"/>
      <c r="G5" s="2426"/>
      <c r="H5" s="2426"/>
      <c r="I5" s="1831"/>
    </row>
    <row r="6" spans="1:12" ht="12.75">
      <c r="A6" s="3766"/>
      <c r="B6" s="3704"/>
      <c r="C6" s="3770"/>
      <c r="D6" s="3789"/>
      <c r="E6" s="140" t="s">
        <v>2129</v>
      </c>
      <c r="F6" s="2426"/>
      <c r="G6" s="2426"/>
      <c r="H6" s="2426"/>
      <c r="I6" s="1831"/>
    </row>
    <row r="7" spans="1:12" ht="12.75">
      <c r="A7" s="3766"/>
      <c r="B7" s="3704"/>
      <c r="C7" s="3771"/>
      <c r="D7" s="3789"/>
      <c r="E7" s="140" t="s">
        <v>2130</v>
      </c>
      <c r="F7" s="2426"/>
      <c r="G7" s="2426"/>
      <c r="H7" s="2426"/>
      <c r="I7" s="1831"/>
    </row>
    <row r="8" spans="1:12" ht="12.75">
      <c r="A8" s="3766" t="s">
        <v>2131</v>
      </c>
      <c r="B8" s="3704">
        <v>15</v>
      </c>
      <c r="C8" s="3769"/>
      <c r="D8" s="3789"/>
      <c r="E8" s="140" t="s">
        <v>2132</v>
      </c>
      <c r="F8" s="2426"/>
      <c r="G8" s="2426"/>
      <c r="H8" s="2426"/>
      <c r="I8" s="1831"/>
    </row>
    <row r="9" spans="1:12" ht="12.75">
      <c r="A9" s="3766"/>
      <c r="B9" s="3704"/>
      <c r="C9" s="3771"/>
      <c r="D9" s="3789"/>
      <c r="E9" s="140" t="s">
        <v>2133</v>
      </c>
      <c r="F9" s="2426"/>
      <c r="G9" s="2426"/>
      <c r="H9" s="2426"/>
      <c r="I9" s="1831"/>
    </row>
    <row r="10" spans="1:12" ht="12.75">
      <c r="A10" s="3766" t="s">
        <v>2134</v>
      </c>
      <c r="B10" s="3704">
        <v>15</v>
      </c>
      <c r="C10" s="3769"/>
      <c r="D10" s="3789"/>
      <c r="E10" s="140" t="s">
        <v>2135</v>
      </c>
      <c r="F10" s="2426"/>
      <c r="G10" s="2426"/>
      <c r="H10" s="2426"/>
      <c r="I10" s="1831"/>
    </row>
    <row r="11" spans="1:12" ht="12.75">
      <c r="A11" s="3766"/>
      <c r="B11" s="3704"/>
      <c r="C11" s="3771"/>
      <c r="D11" s="3789"/>
      <c r="E11" s="140" t="s">
        <v>2136</v>
      </c>
      <c r="F11" s="2426"/>
      <c r="G11" s="2426"/>
      <c r="H11" s="2426"/>
      <c r="I11" s="1831"/>
    </row>
    <row r="12" spans="1:12" ht="12.75">
      <c r="A12" s="3766" t="s">
        <v>2137</v>
      </c>
      <c r="B12" s="3704">
        <v>15</v>
      </c>
      <c r="C12" s="3769"/>
      <c r="D12" s="3789"/>
      <c r="E12" s="140" t="s">
        <v>2138</v>
      </c>
      <c r="F12" s="2426"/>
      <c r="G12" s="2426"/>
      <c r="H12" s="2426"/>
      <c r="I12" s="1831"/>
    </row>
    <row r="13" spans="1:12" ht="12.75">
      <c r="A13" s="3766"/>
      <c r="B13" s="3704"/>
      <c r="C13" s="3771"/>
      <c r="D13" s="3789"/>
      <c r="E13" s="140" t="s">
        <v>2139</v>
      </c>
      <c r="F13" s="2426"/>
      <c r="G13" s="2426"/>
      <c r="H13" s="2426"/>
      <c r="I13" s="1831"/>
    </row>
    <row r="14" spans="1:12" ht="12.75">
      <c r="A14" s="3766" t="s">
        <v>2140</v>
      </c>
      <c r="B14" s="3704">
        <v>30</v>
      </c>
      <c r="C14" s="3769">
        <v>1</v>
      </c>
      <c r="D14" s="3789">
        <v>0</v>
      </c>
      <c r="E14" s="140" t="s">
        <v>2141</v>
      </c>
      <c r="F14" s="2426"/>
      <c r="G14" s="2426"/>
      <c r="H14" s="2426"/>
      <c r="I14" s="1831"/>
    </row>
    <row r="15" spans="1:12" ht="12.75">
      <c r="A15" s="3766"/>
      <c r="B15" s="3704"/>
      <c r="C15" s="3770"/>
      <c r="D15" s="3789"/>
      <c r="E15" s="140" t="s">
        <v>2142</v>
      </c>
      <c r="F15" s="2426"/>
      <c r="G15" s="2426"/>
      <c r="H15" s="2426"/>
      <c r="I15" s="1831"/>
    </row>
    <row r="16" spans="1:12" ht="12.75">
      <c r="A16" s="3766"/>
      <c r="B16" s="3704"/>
      <c r="C16" s="3771"/>
      <c r="D16" s="3789"/>
      <c r="E16" s="140" t="s">
        <v>2143</v>
      </c>
      <c r="F16" s="2426"/>
      <c r="G16" s="2426"/>
      <c r="H16" s="2426"/>
      <c r="I16" s="1831"/>
    </row>
    <row r="17" spans="1:35" ht="15">
      <c r="A17" s="2427" t="s">
        <v>2144</v>
      </c>
      <c r="B17" s="64"/>
      <c r="C17" s="141">
        <f>SUM(C5:C16)</f>
        <v>1</v>
      </c>
      <c r="D17" s="141">
        <f>SUM(D5:D16)</f>
        <v>0</v>
      </c>
      <c r="E17" s="138"/>
      <c r="F17" s="138"/>
      <c r="G17" s="138"/>
      <c r="H17" s="138"/>
      <c r="I17" s="138"/>
      <c r="K17" s="2425"/>
      <c r="L17" s="2428" t="s">
        <v>2145</v>
      </c>
      <c r="M17" s="2428" t="s">
        <v>2146</v>
      </c>
    </row>
    <row r="18" spans="1:35" ht="15.75" thickBot="1">
      <c r="A18" s="2429" t="s">
        <v>2147</v>
      </c>
      <c r="B18" s="2430"/>
      <c r="C18" s="142">
        <f>ROUND(C17/SUM(C17:D17),2)</f>
        <v>1</v>
      </c>
      <c r="D18" s="142">
        <f>1-C18</f>
        <v>0</v>
      </c>
      <c r="E18" s="138"/>
      <c r="F18" s="138"/>
      <c r="G18" s="138"/>
      <c r="H18" s="138"/>
      <c r="I18" s="138"/>
      <c r="K18" s="2425" t="s">
        <v>2148</v>
      </c>
      <c r="L18" s="2425">
        <f>IF(C1="",'数据-汇总表'!E3,SUMIF(项目类型,C1,'数据-汇总表'!E17:E26)+SUMIF(项目类型,C1,'数据-汇总表'!I17:I26))</f>
        <v>11000.49</v>
      </c>
      <c r="M18" s="2425">
        <f>IF(C1="",'数据-汇总表'!E3,SUMIF(项目类型,C1,'数据-汇总表'!E17:E26))</f>
        <v>11000.49</v>
      </c>
    </row>
    <row r="19" spans="1:35" ht="15">
      <c r="A19" s="2431" t="s">
        <v>2149</v>
      </c>
      <c r="B19" s="2432" t="s">
        <v>2150</v>
      </c>
      <c r="C19" s="143">
        <f ca="1">SUMIF(INDIRECT("'"&amp;C4&amp;"'"&amp;"!A:A"),结果表!B19,INDIRECT("'"&amp;C4&amp;"'"&amp;"!B:B"))</f>
        <v>3168</v>
      </c>
      <c r="D19" s="144" t="e">
        <f ca="1">SUMIF(INDIRECT("'"&amp;D4&amp;"'"&amp;"!A:A"),结果表!B19,INDIRECT("'"&amp;D4&amp;"'"&amp;"!B:B"))</f>
        <v>#REF!</v>
      </c>
      <c r="E19" s="2431" t="s">
        <v>2151</v>
      </c>
      <c r="F19" s="2432" t="s">
        <v>2150</v>
      </c>
      <c r="G19" s="145" t="e">
        <f ca="1">ROUND(C19*$C$18+D19*$D$18,0)</f>
        <v>#REF!</v>
      </c>
      <c r="H19" s="2433" t="s">
        <v>2152</v>
      </c>
      <c r="I19" s="138"/>
      <c r="K19" s="2425" t="s">
        <v>2153</v>
      </c>
      <c r="L19" s="2425">
        <f>IF(C1="",'数据-汇总表'!D3,SUMIF(项目类型,C1,'数据-汇总表'!D17:D26)+SUMIF(项目类型,C1,'数据-汇总表'!H17:H27))</f>
        <v>2087.48</v>
      </c>
      <c r="M19" s="2425">
        <f>IF(C1="",'数据-汇总表'!D3,SUMIF(项目类型,C1,'数据-汇总表'!D17:D26))</f>
        <v>2087.48</v>
      </c>
    </row>
    <row r="20" spans="1:35" ht="15">
      <c r="A20" s="2434"/>
      <c r="B20" s="1246" t="s">
        <v>2154</v>
      </c>
      <c r="C20" s="146">
        <f ca="1">SUMIF(INDIRECT("'"&amp;C4&amp;"'"&amp;"!A:A"),结果表!B20,INDIRECT("'"&amp;C4&amp;"'"&amp;"!B:B"))</f>
        <v>2880</v>
      </c>
      <c r="D20" s="147" t="e">
        <f ca="1">SUMIF(INDIRECT("'"&amp;D4&amp;"'"&amp;"!A:A"),结果表!B20,INDIRECT("'"&amp;D4&amp;"'"&amp;"!B:B"))</f>
        <v>#REF!</v>
      </c>
      <c r="E20" s="2434"/>
      <c r="F20" s="1246" t="s">
        <v>2154</v>
      </c>
      <c r="G20" s="148" t="e">
        <f ca="1">ROUND(C20*$C$18+D20*$D$18,0)</f>
        <v>#REF!</v>
      </c>
      <c r="H20" s="979" t="s">
        <v>2155</v>
      </c>
      <c r="I20" s="138"/>
    </row>
    <row r="21" spans="1:35" ht="15" customHeight="1" thickBot="1">
      <c r="A21" s="999"/>
      <c r="B21" s="2435" t="s">
        <v>2156</v>
      </c>
      <c r="C21" s="789">
        <f ca="1">ROUND(C19*10000/L19,0)</f>
        <v>15176</v>
      </c>
      <c r="D21" s="790" t="e">
        <f ca="1">ROUND(D19*10000/L19,0)</f>
        <v>#REF!</v>
      </c>
      <c r="E21" s="999"/>
      <c r="F21" s="2435" t="s">
        <v>2156</v>
      </c>
      <c r="G21" s="149" t="e">
        <f ca="1">ROUND(G19*10000/L19,0)</f>
        <v>#REF!</v>
      </c>
      <c r="H21" s="2436" t="s">
        <v>2155</v>
      </c>
      <c r="I21" s="138"/>
    </row>
    <row r="22" spans="1:35" ht="15" thickBot="1">
      <c r="A22" s="2278" t="s">
        <v>2157</v>
      </c>
      <c r="B22" s="2437"/>
      <c r="C22" s="2438"/>
      <c r="D22" s="791" t="e">
        <f ca="1">IF(C19&lt;D19,D19/C19-1,C19/D19-1)</f>
        <v>#REF!</v>
      </c>
      <c r="E22" s="138"/>
      <c r="F22" s="138"/>
      <c r="G22" s="138"/>
      <c r="H22" s="138"/>
      <c r="I22" s="138"/>
    </row>
    <row r="23" spans="1:35" ht="13.5" thickBot="1">
      <c r="A23" s="2415"/>
      <c r="B23" s="2415"/>
      <c r="C23" s="2415"/>
      <c r="D23" s="2415"/>
      <c r="E23" s="138"/>
      <c r="F23" s="138"/>
      <c r="G23" s="138"/>
      <c r="H23" s="138"/>
      <c r="I23" s="138"/>
    </row>
    <row r="24" spans="1:35" ht="14.25">
      <c r="A24" s="3760" t="s">
        <v>2158</v>
      </c>
      <c r="B24" s="2432" t="s">
        <v>2150</v>
      </c>
      <c r="C24" s="145">
        <f>IF(B30=0,0,D30)</f>
        <v>0</v>
      </c>
      <c r="D24" s="2439"/>
      <c r="E24" s="138"/>
      <c r="F24" s="138"/>
      <c r="G24" s="138"/>
      <c r="H24" s="138"/>
      <c r="I24" s="138"/>
    </row>
    <row r="25" spans="1:35" ht="14.25">
      <c r="A25" s="3761"/>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t="e">
        <f ca="1">IF(D32="总价",G19-C24,G20-C25)</f>
        <v>#REF!</v>
      </c>
      <c r="D32" s="2446" t="s">
        <v>2165</v>
      </c>
      <c r="E32" s="138"/>
      <c r="F32" s="138"/>
      <c r="G32" s="138"/>
      <c r="H32" s="138"/>
      <c r="I32" s="138"/>
    </row>
    <row r="33" spans="1:15" ht="15">
      <c r="A33" s="956"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2169</v>
      </c>
      <c r="F34" s="1736"/>
      <c r="G34" s="138"/>
      <c r="H34" s="138"/>
      <c r="I34" s="138"/>
    </row>
    <row r="35" spans="1:15" ht="15.75" thickBot="1">
      <c r="A35" s="2455"/>
      <c r="B35" s="2456"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778" t="s">
        <v>2172</v>
      </c>
      <c r="B36" s="2458" t="s">
        <v>2173</v>
      </c>
      <c r="C36" s="154"/>
      <c r="D36" s="2459"/>
      <c r="E36" s="2460"/>
      <c r="F36" s="2461"/>
      <c r="G36" s="138"/>
      <c r="H36" s="138"/>
      <c r="I36" s="138"/>
    </row>
    <row r="37" spans="1:15" ht="15.75" thickBot="1">
      <c r="A37" s="3779"/>
      <c r="B37" s="2264" t="s">
        <v>2174</v>
      </c>
      <c r="C37" s="156"/>
      <c r="D37" s="1391"/>
      <c r="E37" s="1391"/>
      <c r="F37" s="2461"/>
      <c r="G37" s="138"/>
      <c r="H37" s="138"/>
      <c r="I37" s="138"/>
    </row>
    <row r="38" spans="1:15" ht="15.75" thickBot="1">
      <c r="A38" s="3780"/>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57" t="s">
        <v>2186</v>
      </c>
      <c r="B45" s="3758"/>
      <c r="C45" s="3759"/>
      <c r="D45" s="164" t="e">
        <f ca="1">ROUND(H101*F45,0)</f>
        <v>#REF!</v>
      </c>
      <c r="E45" s="165" t="s">
        <v>2187</v>
      </c>
      <c r="F45" s="166">
        <v>1</v>
      </c>
      <c r="G45" s="167" t="s">
        <v>2188</v>
      </c>
      <c r="H45" s="138"/>
      <c r="I45" s="138"/>
      <c r="J45" s="3817" t="s">
        <v>2189</v>
      </c>
      <c r="K45" s="3817"/>
      <c r="L45" s="3817"/>
      <c r="M45" s="3817"/>
      <c r="N45" s="3817"/>
      <c r="O45" s="3817"/>
    </row>
    <row r="46" spans="1:15" ht="14.25" customHeight="1">
      <c r="A46" s="3754" t="s">
        <v>2190</v>
      </c>
      <c r="B46" s="3755"/>
      <c r="C46" s="3755"/>
      <c r="D46" s="3755"/>
      <c r="E46" s="3755"/>
      <c r="F46" s="3755"/>
      <c r="G46" s="3756"/>
      <c r="H46" s="2477"/>
      <c r="I46" s="168"/>
      <c r="J46" s="1809">
        <v>1</v>
      </c>
      <c r="K46" s="3817" t="s">
        <v>2191</v>
      </c>
      <c r="L46" s="3817"/>
      <c r="M46" s="3837"/>
      <c r="N46" s="3837"/>
      <c r="O46" s="3837"/>
    </row>
    <row r="47" spans="1:15" ht="12" customHeight="1">
      <c r="A47" s="169" t="s">
        <v>2192</v>
      </c>
      <c r="B47" s="170"/>
      <c r="C47" s="171"/>
      <c r="D47" s="172" t="s">
        <v>2193</v>
      </c>
      <c r="E47" s="24" t="s">
        <v>2194</v>
      </c>
      <c r="F47" s="173" t="s">
        <v>2195</v>
      </c>
      <c r="G47" s="174" t="s">
        <v>2196</v>
      </c>
      <c r="H47" s="2477"/>
      <c r="I47" s="168"/>
      <c r="J47" s="1809">
        <v>2</v>
      </c>
      <c r="K47" s="3817" t="s">
        <v>2197</v>
      </c>
      <c r="L47" s="3817"/>
      <c r="M47" s="3838">
        <f>'数据-取费表'!B2</f>
        <v>43110</v>
      </c>
      <c r="N47" s="3838"/>
      <c r="O47" s="3838"/>
    </row>
    <row r="48" spans="1:15" ht="25.5">
      <c r="A48" s="3785" t="s">
        <v>2198</v>
      </c>
      <c r="B48" s="3768"/>
      <c r="C48" s="3768"/>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17" t="s">
        <v>2201</v>
      </c>
      <c r="L48" s="3817"/>
      <c r="M48" s="3839" t="e">
        <f ca="1">H101</f>
        <v>#REF!</v>
      </c>
      <c r="N48" s="3839"/>
      <c r="O48" s="3839"/>
    </row>
    <row r="49" spans="1:35" ht="25.5" customHeight="1">
      <c r="A49" s="176" t="s">
        <v>2202</v>
      </c>
      <c r="B49" s="3753" t="s">
        <v>2203</v>
      </c>
      <c r="C49" s="3753"/>
      <c r="D49" s="177">
        <v>0</v>
      </c>
      <c r="E49" s="23" t="s">
        <v>2204</v>
      </c>
      <c r="F49" s="28" t="s">
        <v>34</v>
      </c>
      <c r="G49" s="3823"/>
      <c r="H49" s="138"/>
      <c r="I49" s="2480"/>
      <c r="J49" s="1809">
        <v>4</v>
      </c>
      <c r="K49" s="3817" t="str">
        <f>IF(项目基本情况!E8="房地产抵押价值","房地产抵押价值","抵押担保权已注销时的房地产抵押价值")</f>
        <v>房地产抵押价值</v>
      </c>
      <c r="L49" s="3817"/>
      <c r="M49" s="3839" t="e">
        <f ca="1">IF(项目基本情况!E8="房地产抵押价值",H107,H109)</f>
        <v>#REF!</v>
      </c>
      <c r="N49" s="3839"/>
      <c r="O49" s="3839"/>
    </row>
    <row r="50" spans="1:35" ht="25.5" customHeight="1">
      <c r="A50" s="178"/>
      <c r="B50" s="3753" t="s">
        <v>2205</v>
      </c>
      <c r="C50" s="3753"/>
      <c r="D50" s="179"/>
      <c r="E50" s="31"/>
      <c r="F50" s="180"/>
      <c r="G50" s="3824"/>
      <c r="H50" s="138"/>
      <c r="I50" s="2480"/>
      <c r="J50" s="3817" t="s">
        <v>2206</v>
      </c>
      <c r="K50" s="3817"/>
      <c r="L50" s="3817"/>
      <c r="M50" s="3817"/>
      <c r="N50" s="3817"/>
      <c r="O50" s="3817"/>
    </row>
    <row r="51" spans="1:35" ht="12" customHeight="1">
      <c r="A51" s="181"/>
      <c r="B51" s="3753" t="s">
        <v>2207</v>
      </c>
      <c r="C51" s="3753"/>
      <c r="D51" s="182"/>
      <c r="E51" s="30"/>
      <c r="F51" s="180"/>
      <c r="G51" s="3825"/>
      <c r="H51" s="138"/>
      <c r="I51" s="2480"/>
      <c r="J51" s="2481" t="s">
        <v>2208</v>
      </c>
      <c r="K51" s="3817" t="s">
        <v>2209</v>
      </c>
      <c r="L51" s="3817"/>
      <c r="M51" s="2481" t="s">
        <v>2210</v>
      </c>
      <c r="N51" s="2481" t="s">
        <v>2211</v>
      </c>
      <c r="O51" s="2481" t="s">
        <v>2212</v>
      </c>
    </row>
    <row r="52" spans="1:35" ht="24" customHeight="1">
      <c r="A52" s="183" t="s">
        <v>2213</v>
      </c>
      <c r="B52" s="3753" t="s">
        <v>2214</v>
      </c>
      <c r="C52" s="3753"/>
      <c r="D52" s="182" t="e">
        <f ca="1">ROUND(D45*'数据-取费表'!B41/(1+'数据-取费表'!C42),0)</f>
        <v>#REF!</v>
      </c>
      <c r="E52" s="11" t="s">
        <v>2215</v>
      </c>
      <c r="F52" s="184">
        <f>'数据-取费表'!B41</f>
        <v>5.5000000000000007E-2</v>
      </c>
      <c r="G52" s="2482"/>
      <c r="H52" s="138"/>
      <c r="I52" s="2480"/>
      <c r="J52" s="1809">
        <v>1</v>
      </c>
      <c r="K52" s="3818" t="s">
        <v>2216</v>
      </c>
      <c r="L52" s="3818"/>
      <c r="M52" s="1751">
        <f>D48</f>
        <v>0</v>
      </c>
      <c r="N52" s="1809" t="str">
        <f>E48</f>
        <v>销售额×税（费）率</v>
      </c>
      <c r="O52" s="1752" t="str">
        <f>F48</f>
        <v>免征</v>
      </c>
    </row>
    <row r="53" spans="1:35" ht="12" customHeight="1">
      <c r="A53" s="183" t="s">
        <v>2217</v>
      </c>
      <c r="B53" s="3776" t="s">
        <v>2218</v>
      </c>
      <c r="C53" s="3777"/>
      <c r="D53" s="182" t="e">
        <f ca="1">ROUND(D45*'数据-取费表'!B41/(1+'数据-取费表'!C42),0)</f>
        <v>#REF!</v>
      </c>
      <c r="E53" s="11" t="s">
        <v>2215</v>
      </c>
      <c r="F53" s="184">
        <f>'数据-取费表'!B41</f>
        <v>5.5000000000000007E-2</v>
      </c>
      <c r="G53" s="2482"/>
      <c r="H53" s="138"/>
      <c r="I53" s="2480"/>
      <c r="J53" s="1809">
        <v>2</v>
      </c>
      <c r="K53" s="3818" t="s">
        <v>2219</v>
      </c>
      <c r="L53" s="3818"/>
      <c r="M53" s="1751" t="e">
        <f t="shared" ref="M53:O54" ca="1" si="0">D55</f>
        <v>#REF!</v>
      </c>
      <c r="N53" s="1809" t="str">
        <f t="shared" si="0"/>
        <v>销售额×税（费）率</v>
      </c>
      <c r="O53" s="1752">
        <f t="shared" si="0"/>
        <v>5.0000000000000001E-4</v>
      </c>
    </row>
    <row r="54" spans="1:35" ht="12" customHeight="1">
      <c r="A54" s="183" t="s">
        <v>2220</v>
      </c>
      <c r="B54" s="3776" t="s">
        <v>2221</v>
      </c>
      <c r="C54" s="3777"/>
      <c r="D54" s="182" t="e">
        <f ca="1">C68</f>
        <v>#REF!</v>
      </c>
      <c r="E54" s="30" t="s">
        <v>2222</v>
      </c>
      <c r="F54" s="184">
        <f>'数据-取费表'!B41</f>
        <v>5.5000000000000007E-2</v>
      </c>
      <c r="G54" s="2482"/>
      <c r="H54" s="2483"/>
      <c r="I54" s="2480"/>
      <c r="J54" s="1809">
        <v>3</v>
      </c>
      <c r="K54" s="3818" t="s">
        <v>2223</v>
      </c>
      <c r="L54" s="3818"/>
      <c r="M54" s="1751" t="e">
        <f t="shared" ca="1" si="0"/>
        <v>#REF!</v>
      </c>
      <c r="N54" s="1809" t="str">
        <f t="shared" si="0"/>
        <v>增值额×税（费）率</v>
      </c>
      <c r="O54" s="1753" t="str">
        <f t="shared" si="0"/>
        <v>——</v>
      </c>
    </row>
    <row r="55" spans="1:35" ht="24" customHeight="1">
      <c r="A55" s="3767" t="s">
        <v>2224</v>
      </c>
      <c r="B55" s="3768"/>
      <c r="C55" s="3768"/>
      <c r="D55" s="185" t="e">
        <f ca="1">IF(H55="个人住宅",0,ROUND(D45*I55,0))</f>
        <v>#REF!</v>
      </c>
      <c r="E55" s="11" t="s">
        <v>2225</v>
      </c>
      <c r="F55" s="184">
        <f>IF(H55="正常",I55,"免征")</f>
        <v>5.0000000000000001E-4</v>
      </c>
      <c r="G55" s="2482"/>
      <c r="H55" s="2479" t="s">
        <v>2226</v>
      </c>
      <c r="I55" s="186">
        <f>'数据-取费表'!B49</f>
        <v>5.0000000000000001E-4</v>
      </c>
      <c r="J55" s="1809" t="str">
        <f>IF(H59="非个人房产","",4)</f>
        <v/>
      </c>
      <c r="K55" s="3818" t="str">
        <f>IF(H59="非个人房产","——","个人所得税")</f>
        <v>——</v>
      </c>
      <c r="L55" s="3818"/>
      <c r="M55" s="1754" t="str">
        <f>D59</f>
        <v>——</v>
      </c>
      <c r="N55" s="1807" t="str">
        <f>E59</f>
        <v>——</v>
      </c>
      <c r="O55" s="1755" t="str">
        <f>F59</f>
        <v>——</v>
      </c>
    </row>
    <row r="56" spans="1:35" ht="24.75">
      <c r="A56" s="3767" t="s">
        <v>2227</v>
      </c>
      <c r="B56" s="3768"/>
      <c r="C56" s="3768"/>
      <c r="D56" s="185" t="e">
        <f ca="1">IF(H56="个人住宅",D57,D58)</f>
        <v>#REF!</v>
      </c>
      <c r="E56" s="11" t="s">
        <v>2228</v>
      </c>
      <c r="F56" s="184" t="str">
        <f>IF(H56="正常",F58,"免征")</f>
        <v>——</v>
      </c>
      <c r="G56" s="2484" t="s">
        <v>2229</v>
      </c>
      <c r="H56" s="2485" t="s">
        <v>2226</v>
      </c>
      <c r="I56" s="2486"/>
      <c r="J56" s="1809" t="str">
        <f>IF(项目基本情况!K6="上海银行",IF(J55="",4,J55+1),"")</f>
        <v/>
      </c>
      <c r="K56" s="3841" t="str">
        <f>IF(项目基本情况!K6="上海银行","其他处置费用","")</f>
        <v/>
      </c>
      <c r="L56" s="3842"/>
      <c r="M56" s="1751" t="str">
        <f>IF(项目基本情况!K6="上海银行",M69,"")</f>
        <v/>
      </c>
      <c r="N56" s="3844" t="str">
        <f>IF(项目基本情况!K6="上海银行","包含处置中涉及的律师、诉讼、拍卖、评估等费用","")</f>
        <v/>
      </c>
      <c r="O56" s="3845"/>
    </row>
    <row r="57" spans="1:35" ht="12.75">
      <c r="A57" s="183" t="s">
        <v>2202</v>
      </c>
      <c r="B57" s="3783" t="s">
        <v>2230</v>
      </c>
      <c r="C57" s="3792"/>
      <c r="D57" s="187">
        <v>0</v>
      </c>
      <c r="E57" s="23" t="s">
        <v>2204</v>
      </c>
      <c r="F57" s="155"/>
      <c r="G57" s="2482"/>
      <c r="H57" s="2486"/>
      <c r="I57" s="2486"/>
      <c r="J57" s="3818">
        <f>IF(AND(J55="",J56=""),4,IF(项目基本情况!K6="上海银行",结果表!J56+1,结果表!J55+1))</f>
        <v>4</v>
      </c>
      <c r="K57" s="3818" t="s">
        <v>2231</v>
      </c>
      <c r="L57" s="2487" t="s">
        <v>2232</v>
      </c>
      <c r="M57" s="1756"/>
      <c r="N57" s="1757">
        <f ca="1">SUMIF(M52:M56,"&lt;9e307")</f>
        <v>0</v>
      </c>
      <c r="O57" s="2488"/>
      <c r="P57" s="1750" t="e">
        <f ca="1">N57/M49</f>
        <v>#REF!</v>
      </c>
    </row>
    <row r="58" spans="1:35" ht="24.75">
      <c r="A58" s="183" t="s">
        <v>2213</v>
      </c>
      <c r="B58" s="3783" t="s">
        <v>2233</v>
      </c>
      <c r="C58" s="3784"/>
      <c r="D58" s="185" t="e">
        <f ca="1">IF(H58="转让取得",C81,C97)</f>
        <v>#REF!</v>
      </c>
      <c r="E58" s="11" t="s">
        <v>2228</v>
      </c>
      <c r="F58" s="24" t="s">
        <v>34</v>
      </c>
      <c r="G58" s="2482"/>
      <c r="H58" s="2485" t="s">
        <v>2234</v>
      </c>
      <c r="I58" s="2486"/>
      <c r="J58" s="3818"/>
      <c r="K58" s="3818"/>
      <c r="L58" s="2487" t="s">
        <v>2235</v>
      </c>
      <c r="M58" s="1758"/>
      <c r="N58" s="2489" t="str">
        <f ca="1">NUMBERSTRING(INT(N57*10000),2)&amp;"元整"</f>
        <v>零元整</v>
      </c>
      <c r="O58" s="2490"/>
    </row>
    <row r="59" spans="1:35" ht="24.75" thickBot="1">
      <c r="A59" s="3821" t="s">
        <v>2236</v>
      </c>
      <c r="B59" s="3822"/>
      <c r="C59" s="3822"/>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19">
        <f>J57+1</f>
        <v>5</v>
      </c>
      <c r="K59" s="3818" t="s">
        <v>2238</v>
      </c>
      <c r="L59" s="1809" t="s">
        <v>2232</v>
      </c>
      <c r="M59" s="1759"/>
      <c r="N59" s="1760" t="e">
        <f ca="1">M49-N57</f>
        <v>#REF!</v>
      </c>
      <c r="O59" s="2492"/>
    </row>
    <row r="60" spans="1:35" ht="12" customHeight="1">
      <c r="A60" s="2493"/>
      <c r="B60" s="2415"/>
      <c r="C60" s="2415"/>
      <c r="D60" s="2415"/>
      <c r="E60" s="2165"/>
      <c r="F60" s="2486"/>
      <c r="G60" s="2486"/>
      <c r="H60" s="2494"/>
      <c r="I60" s="138"/>
      <c r="J60" s="3820"/>
      <c r="K60" s="3818"/>
      <c r="L60" s="2487" t="s">
        <v>2235</v>
      </c>
      <c r="M60" s="1758"/>
      <c r="N60" s="2489" t="e">
        <f ca="1">NUMBERSTRING(INT(N59*10000),2)&amp;"元整"</f>
        <v>#REF!</v>
      </c>
      <c r="O60" s="2490"/>
    </row>
    <row r="61" spans="1:35" ht="13.5" thickBot="1">
      <c r="A61" s="3765" t="s">
        <v>2239</v>
      </c>
      <c r="B61" s="3765"/>
      <c r="C61" s="3765"/>
      <c r="D61" s="3765"/>
      <c r="E61" s="3765"/>
      <c r="F61" s="2486"/>
      <c r="G61" s="2486"/>
      <c r="H61" s="2494"/>
      <c r="I61" s="138"/>
      <c r="J61" s="1809">
        <f>J59+1</f>
        <v>6</v>
      </c>
      <c r="K61" s="3818" t="s">
        <v>2240</v>
      </c>
      <c r="L61" s="3818"/>
      <c r="M61" s="1761"/>
      <c r="N61" s="1762" t="e">
        <f ca="1">ROUND(N59*10000/'数据-汇总表'!E3,0)</f>
        <v>#REF!</v>
      </c>
      <c r="O61" s="2495"/>
    </row>
    <row r="62" spans="1:35" ht="12.75">
      <c r="A62" s="3781" t="s">
        <v>2241</v>
      </c>
      <c r="B62" s="3782"/>
      <c r="C62" s="1801"/>
      <c r="D62" s="1801" t="s">
        <v>2242</v>
      </c>
      <c r="E62" s="192" t="s">
        <v>2243</v>
      </c>
      <c r="F62" s="2486"/>
      <c r="G62" s="2486"/>
      <c r="H62" s="2494"/>
      <c r="I62" s="138"/>
    </row>
    <row r="63" spans="1:35" ht="12.75">
      <c r="A63" s="203" t="s">
        <v>775</v>
      </c>
      <c r="B63" s="193" t="s">
        <v>2244</v>
      </c>
      <c r="C63" s="194" t="e">
        <f ca="1">ROUND((C64+C65)/(1+'数据-取费表'!C42),0)</f>
        <v>#REF!</v>
      </c>
      <c r="D63" s="195"/>
      <c r="E63" s="196"/>
      <c r="F63" s="2486"/>
      <c r="G63" s="2486"/>
      <c r="H63" s="2494"/>
      <c r="I63" s="138"/>
      <c r="J63" s="3843" t="s">
        <v>2245</v>
      </c>
      <c r="K63" s="2496" t="s">
        <v>2246</v>
      </c>
      <c r="L63" s="1749" t="e">
        <f ca="1">IF(M49&gt;10000,M49*0.5%,IF(AND(M49&gt;1000,M49&lt;=10000),M49*1%,IF(AND(M49&gt;100,M49&lt;=1000),M49*3%,IF(AND(M49&gt;10,M49&lt;=100),M49*5%,M49*8%))))</f>
        <v>#REF!</v>
      </c>
      <c r="M63" s="24" t="e">
        <f ca="1">ROUND(L63,1)</f>
        <v>#REF!</v>
      </c>
      <c r="Z63" s="2420"/>
      <c r="AI63" s="2421"/>
    </row>
    <row r="64" spans="1:35" ht="14.25" customHeight="1">
      <c r="A64" s="197" t="s">
        <v>770</v>
      </c>
      <c r="B64" s="198" t="s">
        <v>2247</v>
      </c>
      <c r="C64" s="199" t="e">
        <f ca="1">D45</f>
        <v>#REF!</v>
      </c>
      <c r="D64" s="200" t="s">
        <v>32</v>
      </c>
      <c r="E64" s="201"/>
      <c r="F64" s="2486"/>
      <c r="G64" s="2486"/>
      <c r="H64" s="2494"/>
      <c r="I64" s="138"/>
      <c r="J64" s="3843"/>
      <c r="K64" s="2496" t="s">
        <v>2248</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2249</v>
      </c>
      <c r="Z64" s="2420"/>
      <c r="AI64" s="2421"/>
    </row>
    <row r="65" spans="1:35" ht="14.25" customHeight="1">
      <c r="A65" s="197" t="s">
        <v>771</v>
      </c>
      <c r="B65" s="198" t="s">
        <v>2250</v>
      </c>
      <c r="C65" s="202"/>
      <c r="D65" s="200"/>
      <c r="E65" s="201"/>
      <c r="F65" s="2486"/>
      <c r="G65" s="2486"/>
      <c r="H65" s="2494"/>
      <c r="I65" s="138"/>
      <c r="J65" s="3843"/>
      <c r="K65" s="2496" t="s">
        <v>2251</v>
      </c>
      <c r="L65" s="1749" t="e">
        <f ca="1">IF(M49&gt;1000,M49*0.1%,IF(AND(M49&gt;500,M49&lt;=1000),M49*0.5%,IF(AND(M49&gt;50,M49&lt;=500),M49*1%,IF(AND(M49&gt;1,M49&lt;=50),M49*1.5%))))</f>
        <v>#REF!</v>
      </c>
      <c r="M65" s="24" t="e">
        <f t="shared" ca="1" si="1"/>
        <v>#REF!</v>
      </c>
      <c r="N65" s="138" t="s">
        <v>2249</v>
      </c>
      <c r="Z65" s="2420"/>
      <c r="AI65" s="2421"/>
    </row>
    <row r="66" spans="1:35" ht="14.25" customHeight="1">
      <c r="A66" s="203" t="s">
        <v>772</v>
      </c>
      <c r="B66" s="204" t="s">
        <v>2252</v>
      </c>
      <c r="C66" s="205"/>
      <c r="D66" s="206" t="s">
        <v>32</v>
      </c>
      <c r="E66" s="1773" t="s">
        <v>1372</v>
      </c>
      <c r="F66" s="2486"/>
      <c r="G66" s="2486"/>
      <c r="H66" s="2494"/>
      <c r="I66" s="138"/>
      <c r="J66" s="3843"/>
      <c r="K66" s="2496" t="s">
        <v>2253</v>
      </c>
      <c r="L66" s="1749" t="e">
        <f ca="1">M49*0.5%</f>
        <v>#REF!</v>
      </c>
      <c r="M66" s="24" t="e">
        <f ca="1">IF(L66&gt;0.5,0.5,ROUND(L66,0))</f>
        <v>#REF!</v>
      </c>
      <c r="N66" s="138" t="s">
        <v>2254</v>
      </c>
      <c r="Z66" s="2420"/>
      <c r="AI66" s="2421"/>
    </row>
    <row r="67" spans="1:35" ht="14.25" customHeight="1">
      <c r="A67" s="203" t="s">
        <v>773</v>
      </c>
      <c r="B67" s="204" t="s">
        <v>2255</v>
      </c>
      <c r="C67" s="207" t="e">
        <f ca="1">C63-C66</f>
        <v>#REF!</v>
      </c>
      <c r="D67" s="200" t="s">
        <v>32</v>
      </c>
      <c r="E67" s="201"/>
      <c r="F67" s="2486"/>
      <c r="G67" s="2486"/>
      <c r="H67" s="2494"/>
      <c r="I67" s="138"/>
      <c r="J67" s="3843"/>
      <c r="K67" s="2496" t="s">
        <v>2256</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0"/>
      <c r="AI67" s="2421"/>
    </row>
    <row r="68" spans="1:35" ht="14.25" customHeight="1" thickBot="1">
      <c r="A68" s="208" t="s">
        <v>774</v>
      </c>
      <c r="B68" s="209" t="s">
        <v>2257</v>
      </c>
      <c r="C68" s="210" t="e">
        <f ca="1">IF(C67&lt;=0,0,ROUND(C67*D68,0))</f>
        <v>#REF!</v>
      </c>
      <c r="D68" s="211">
        <f>'数据-取费表'!B41</f>
        <v>5.5000000000000007E-2</v>
      </c>
      <c r="E68" s="212"/>
      <c r="F68" s="2486"/>
      <c r="G68" s="2486"/>
      <c r="H68" s="2494"/>
      <c r="I68" s="138"/>
      <c r="J68" s="3843"/>
      <c r="K68" s="2496" t="s">
        <v>2258</v>
      </c>
      <c r="L68" s="1749" t="e">
        <f ca="1">IF(M49&gt;10000,M49*0.5%,IF(AND(M49&gt;5000,M49&lt;=10000),M49*1%,IF(AND(M49&gt;1000,M49&lt;=5000),M49*2%,IF(AND(M49&gt;200,M49&lt;=1000),M49*3%,M49*5%))))</f>
        <v>#REF!</v>
      </c>
      <c r="M68" s="24" t="e">
        <f ca="1">ROUND(L68,1)</f>
        <v>#REF!</v>
      </c>
      <c r="Z68" s="2420"/>
      <c r="AI68" s="2421"/>
    </row>
    <row r="69" spans="1:35" s="2443" customFormat="1" ht="16.5" customHeight="1">
      <c r="A69" s="2497"/>
      <c r="B69" s="2498"/>
      <c r="C69" s="2499"/>
      <c r="D69" s="2500"/>
      <c r="E69" s="2501"/>
      <c r="F69" s="2165"/>
      <c r="G69" s="2165"/>
      <c r="H69" s="2164"/>
      <c r="I69" s="2415"/>
      <c r="J69" s="3843"/>
      <c r="K69" s="2496" t="s">
        <v>2259</v>
      </c>
      <c r="L69" s="2502"/>
      <c r="M69" s="24" t="e">
        <f ca="1">ROUND(SUM(M63:M68),0)</f>
        <v>#REF!</v>
      </c>
      <c r="N69" s="1750" t="e">
        <f ca="1">M69/M49</f>
        <v>#REF!</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802" t="s">
        <v>2260</v>
      </c>
      <c r="B70" s="3803"/>
      <c r="C70" s="3803"/>
      <c r="D70" s="3803"/>
      <c r="E70" s="3803"/>
      <c r="F70" s="3803"/>
      <c r="G70" s="3803"/>
      <c r="H70" s="380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81" t="s">
        <v>2241</v>
      </c>
      <c r="B71" s="3782"/>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t="e">
        <f ca="1">ROUND(D45/(1+'数据-取费表'!C42),0)</f>
        <v>#REF!</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t="e">
        <f ca="1">C74+C78</f>
        <v>#REF!</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76" t="s">
        <v>2269</v>
      </c>
      <c r="F76" s="3753"/>
      <c r="G76" s="3753"/>
      <c r="H76" s="380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t="e">
        <f ca="1">ROUND(D45*D78/(1+'数据-取费表'!C42),0)</f>
        <v>#REF!</v>
      </c>
      <c r="D78" s="226">
        <f>'数据-取费表'!B43</f>
        <v>5.000000000000001E-3</v>
      </c>
      <c r="E78" s="3762" t="s">
        <v>2274</v>
      </c>
      <c r="F78" s="3763"/>
      <c r="G78" s="3763"/>
      <c r="H78" s="377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t="e">
        <f ca="1">C72-C73</f>
        <v>#REF!</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802" t="s">
        <v>2278</v>
      </c>
      <c r="B83" s="3803"/>
      <c r="C83" s="3803"/>
      <c r="D83" s="3803"/>
      <c r="E83" s="3803"/>
      <c r="F83" s="3803"/>
      <c r="G83" s="3803"/>
      <c r="H83" s="380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81" t="s">
        <v>2241</v>
      </c>
      <c r="B84" s="3782"/>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t="e">
        <f ca="1">ROUND(D45/(1+'数据-取费表'!C42),0)</f>
        <v>#REF!</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t="e">
        <f ca="1">IF(H88="仅含出让金",C87+C90+C91+C92+C93+C94,C87+C91+C92+C93+C94)</f>
        <v>#REF!</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62" t="s">
        <v>2287</v>
      </c>
      <c r="F91" s="3763"/>
      <c r="G91" s="3763"/>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62" t="s">
        <v>2291</v>
      </c>
      <c r="F92" s="3763"/>
      <c r="G92" s="3763"/>
      <c r="H92" s="377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t="e">
        <f ca="1">ROUND(D45*D93/(1+'数据-取费表'!C42),0)</f>
        <v>#REF!</v>
      </c>
      <c r="D93" s="226">
        <f>'数据-取费表'!B43</f>
        <v>5.000000000000001E-3</v>
      </c>
      <c r="E93" s="3762" t="s">
        <v>2274</v>
      </c>
      <c r="F93" s="3763"/>
      <c r="G93" s="3763"/>
      <c r="H93" s="377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73" t="s">
        <v>2295</v>
      </c>
      <c r="F94" s="3774"/>
      <c r="G94" s="3774"/>
      <c r="H94" s="377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t="e">
        <f ca="1">ROUND(C85-C86,0)</f>
        <v>#REF!</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47" t="s">
        <v>2297</v>
      </c>
      <c r="B100" s="3748"/>
      <c r="C100" s="3748"/>
      <c r="D100" s="3764"/>
      <c r="E100" s="3748" t="s">
        <v>2298</v>
      </c>
      <c r="F100" s="3748"/>
      <c r="G100" s="3748"/>
      <c r="H100" s="3764"/>
      <c r="I100" s="138"/>
    </row>
    <row r="101" spans="1:35" ht="18.75" customHeight="1">
      <c r="A101" s="3826" t="s">
        <v>2299</v>
      </c>
      <c r="B101" s="3827"/>
      <c r="C101" s="736" t="str">
        <f>C4</f>
        <v>成本法</v>
      </c>
      <c r="D101" s="737" t="str">
        <f>D4</f>
        <v>*</v>
      </c>
      <c r="E101" s="3840" t="s">
        <v>2300</v>
      </c>
      <c r="F101" s="3794"/>
      <c r="G101" s="2517" t="s">
        <v>2301</v>
      </c>
      <c r="H101" s="1044" t="e">
        <f ca="1">H118</f>
        <v>#REF!</v>
      </c>
      <c r="I101" s="138"/>
    </row>
    <row r="102" spans="1:35" ht="18.75" customHeight="1">
      <c r="A102" s="3796" t="s">
        <v>2302</v>
      </c>
      <c r="B102" s="2517" t="s">
        <v>2301</v>
      </c>
      <c r="C102" s="736">
        <f ca="1">C19</f>
        <v>3168</v>
      </c>
      <c r="D102" s="737" t="e">
        <f ca="1">D19</f>
        <v>#REF!</v>
      </c>
      <c r="E102" s="3840"/>
      <c r="F102" s="3794"/>
      <c r="G102" s="2517" t="s">
        <v>2303</v>
      </c>
      <c r="H102" s="371" t="e">
        <f ca="1">I118</f>
        <v>#REF!</v>
      </c>
      <c r="I102" s="138"/>
    </row>
    <row r="103" spans="1:35" ht="42.75" customHeight="1">
      <c r="A103" s="3796"/>
      <c r="B103" s="2517" t="s">
        <v>2303</v>
      </c>
      <c r="C103" s="738">
        <f ca="1">C20</f>
        <v>2880</v>
      </c>
      <c r="D103" s="739" t="e">
        <f ca="1">D20</f>
        <v>#REF!</v>
      </c>
      <c r="E103" s="3835" t="s">
        <v>2304</v>
      </c>
      <c r="F103" s="3836"/>
      <c r="G103" s="2518" t="s">
        <v>2305</v>
      </c>
      <c r="H103" s="1044">
        <f>IF(D36="正常操作",H104+H105+H106,H105+H106)</f>
        <v>0</v>
      </c>
      <c r="I103" s="138"/>
    </row>
    <row r="104" spans="1:35" ht="18.75" customHeight="1">
      <c r="A104" s="3796" t="s">
        <v>2306</v>
      </c>
      <c r="B104" s="2519" t="s">
        <v>2301</v>
      </c>
      <c r="C104" s="740" t="e">
        <f ca="1">H118</f>
        <v>#REF!</v>
      </c>
      <c r="D104" s="741"/>
      <c r="E104" s="2264" t="s">
        <v>2307</v>
      </c>
      <c r="F104" s="2256"/>
      <c r="G104" s="2518" t="s">
        <v>2305</v>
      </c>
      <c r="H104" s="1045">
        <f>IF(D36="同一抵押权人同一抵押物续贷",C36&amp;"（未扣减，详见特别提示）",C36)</f>
        <v>0</v>
      </c>
      <c r="I104" s="138"/>
    </row>
    <row r="105" spans="1:35" ht="18.75" customHeight="1" thickBot="1">
      <c r="A105" s="3797"/>
      <c r="B105" s="2520" t="s">
        <v>2303</v>
      </c>
      <c r="C105" s="742" t="e">
        <f ca="1">I118</f>
        <v>#REF!</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93" t="str">
        <f>IF(项目基本情况!E8="已注销","——","3.房地产抵押价值")</f>
        <v>3.房地产抵押价值</v>
      </c>
      <c r="F107" s="3794"/>
      <c r="G107" s="2517" t="s">
        <v>2301</v>
      </c>
      <c r="H107" s="1044" t="e">
        <f ca="1">IF(E107="——","——",H101-H103)</f>
        <v>#REF!</v>
      </c>
      <c r="I107" s="138"/>
    </row>
    <row r="108" spans="1:35" ht="18.75" customHeight="1">
      <c r="A108" s="138"/>
      <c r="B108" s="138"/>
      <c r="C108" s="138"/>
      <c r="D108" s="138"/>
      <c r="E108" s="3793"/>
      <c r="F108" s="3794"/>
      <c r="G108" s="2517" t="s">
        <v>2303</v>
      </c>
      <c r="H108" s="371" t="e">
        <f ca="1">ROUND(H107*10000/'数据-汇总表'!E3,0)</f>
        <v>#REF!</v>
      </c>
      <c r="I108" s="138"/>
    </row>
    <row r="109" spans="1:35" ht="18.75" customHeight="1">
      <c r="A109" s="138"/>
      <c r="B109" s="138"/>
      <c r="C109" s="138"/>
      <c r="D109" s="138"/>
      <c r="E109" s="3793" t="str">
        <f>IF(项目基本情况!E8="已注销及未注销","4.抵押担保权已注销时的房地产抵押价值",IF(项目基本情况!E8="已注销","3.抵押担保权已注销时的房地产抵押价值","——"))</f>
        <v>——</v>
      </c>
      <c r="F109" s="3794"/>
      <c r="G109" s="2517" t="s">
        <v>2301</v>
      </c>
      <c r="H109" s="348" t="str">
        <f>IF(E109="——","——",H101-H105-H106)</f>
        <v>——</v>
      </c>
      <c r="I109" s="138"/>
    </row>
    <row r="110" spans="1:35" ht="18.75" customHeight="1">
      <c r="A110" s="138"/>
      <c r="B110" s="138"/>
      <c r="C110" s="138"/>
      <c r="D110" s="138"/>
      <c r="E110" s="3793"/>
      <c r="F110" s="3794"/>
      <c r="G110" s="2517" t="s">
        <v>2303</v>
      </c>
      <c r="H110" s="371" t="str">
        <f>IF(H109="——","——",ROUND(H109*10000/'数据-汇总表'!E3,0))</f>
        <v>——</v>
      </c>
      <c r="I110" s="138"/>
    </row>
    <row r="111" spans="1:35" ht="18.75" customHeight="1">
      <c r="A111" s="138"/>
      <c r="B111" s="138"/>
      <c r="C111" s="138"/>
      <c r="D111" s="138"/>
      <c r="E111" s="3828" t="str">
        <f>IF(项目基本情况!E9="抵押净值",IF(OR(项目基本情况!E8="已注销",项目基本情况!E8="房地产抵押价值"),"4.抵押净值","5.抵押净值"),"——")</f>
        <v>——</v>
      </c>
      <c r="F111" s="3829"/>
      <c r="G111" s="2517" t="s">
        <v>2301</v>
      </c>
      <c r="H111" s="1044" t="str">
        <f>IF(E111="——","——",N59)</f>
        <v>——</v>
      </c>
      <c r="I111" s="138"/>
    </row>
    <row r="112" spans="1:35" ht="18.75" customHeight="1" thickBot="1">
      <c r="A112" s="138"/>
      <c r="B112" s="138"/>
      <c r="C112" s="138"/>
      <c r="D112" s="138"/>
      <c r="E112" s="3830"/>
      <c r="F112" s="3831"/>
      <c r="G112" s="2522" t="s">
        <v>2303</v>
      </c>
      <c r="H112" s="790" t="str">
        <f>IF(E111="——","——",N61)</f>
        <v>——</v>
      </c>
      <c r="I112" s="138"/>
    </row>
    <row r="113" spans="1:11" ht="18.75" customHeight="1">
      <c r="A113" s="138"/>
      <c r="B113" s="138"/>
      <c r="C113" s="138"/>
      <c r="D113" s="138"/>
      <c r="E113" s="3798" t="s">
        <v>2309</v>
      </c>
      <c r="F113" s="3798"/>
      <c r="G113" s="3798"/>
      <c r="H113" s="3798"/>
      <c r="I113" s="138"/>
    </row>
    <row r="114" spans="1:11" ht="3.75" customHeight="1">
      <c r="A114" s="2415"/>
      <c r="B114" s="2415"/>
      <c r="C114" s="2415"/>
      <c r="D114" s="2415"/>
      <c r="E114" s="2493"/>
      <c r="F114" s="2493"/>
      <c r="G114" s="2493"/>
      <c r="H114" s="2493"/>
      <c r="I114" s="2415"/>
    </row>
    <row r="115" spans="1:11" ht="18.75" customHeight="1">
      <c r="A115" s="3811" t="s">
        <v>2311</v>
      </c>
      <c r="B115" s="3812"/>
      <c r="C115" s="3812"/>
      <c r="D115" s="3812"/>
      <c r="E115" s="3812"/>
      <c r="F115" s="3812"/>
      <c r="G115" s="3812"/>
      <c r="H115" s="3812"/>
      <c r="I115" s="3813"/>
    </row>
    <row r="116" spans="1:11" ht="27" customHeight="1">
      <c r="A116" s="3704" t="s">
        <v>2312</v>
      </c>
      <c r="B116" s="3799" t="s">
        <v>2313</v>
      </c>
      <c r="C116" s="3799" t="s">
        <v>2314</v>
      </c>
      <c r="D116" s="3815" t="s">
        <v>2315</v>
      </c>
      <c r="E116" s="3816"/>
      <c r="F116" s="3807" t="s">
        <v>2316</v>
      </c>
      <c r="G116" s="3807"/>
      <c r="H116" s="3704" t="s">
        <v>2317</v>
      </c>
      <c r="I116" s="3704"/>
    </row>
    <row r="117" spans="1:11" ht="18.75" customHeight="1">
      <c r="A117" s="3704"/>
      <c r="B117" s="3800"/>
      <c r="C117" s="3800"/>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11000.49</v>
      </c>
      <c r="C118" s="1795">
        <f>M19</f>
        <v>2087.48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704" t="s">
        <v>2321</v>
      </c>
      <c r="B119" s="3704"/>
      <c r="C119" s="3704"/>
      <c r="D119" s="3804" t="e">
        <f ca="1">NUMBERSTRING(INT(D118*10000),2)&amp;"元整"</f>
        <v>#REF!</v>
      </c>
      <c r="E119" s="3806"/>
      <c r="F119" s="3804" t="e">
        <f ca="1">NUMBERSTRING(INT(F118*10000),2)&amp;"元整"</f>
        <v>#REF!</v>
      </c>
      <c r="G119" s="3806"/>
      <c r="H119" s="3804" t="e">
        <f ca="1">NUMBERSTRING(INT(H118*10000),2)&amp;"元整"</f>
        <v>#REF!</v>
      </c>
      <c r="I119" s="3806"/>
    </row>
    <row r="120" spans="1:11" ht="18.75" customHeight="1">
      <c r="A120" s="3832" t="str">
        <f>IF(项目基本情况!B9="房地产市场价值","",MID(E103,3,LEN(E103)-2))</f>
        <v>估价师知悉的法定优先受偿款</v>
      </c>
      <c r="B120" s="3833"/>
      <c r="C120" s="3834"/>
      <c r="D120" s="3832">
        <f>H103</f>
        <v>0</v>
      </c>
      <c r="E120" s="3833"/>
      <c r="F120" s="3833"/>
      <c r="G120" s="3833"/>
      <c r="H120" s="3833"/>
      <c r="I120" s="3834"/>
      <c r="K120" s="2420" t="str">
        <f>IF(D120=0,"故，本次评估不存在"&amp;A120,"故，本次评估"&amp;A120&amp;"为人民币"&amp;D120&amp;"万元整。")</f>
        <v>故，本次评估不存在估价师知悉的法定优先受偿款</v>
      </c>
    </row>
    <row r="121" spans="1:11" ht="18.75" customHeight="1">
      <c r="A121" s="3808" t="s">
        <v>2321</v>
      </c>
      <c r="B121" s="3809"/>
      <c r="C121" s="3810"/>
      <c r="D121" s="3804" t="str">
        <f>IF(D120=0,"零元整",NUMBERSTRING(INT(D120*10000),2)&amp;"元整")</f>
        <v>零元整</v>
      </c>
      <c r="E121" s="3805"/>
      <c r="F121" s="3805"/>
      <c r="G121" s="3805"/>
      <c r="H121" s="3805"/>
      <c r="I121" s="3806"/>
    </row>
    <row r="122" spans="1:11" ht="18.75" customHeight="1">
      <c r="A122" s="3795" t="str">
        <f>IF(项目基本情况!B9="房地产市场价值","",MID(E107,3,LEN(E107)-2))</f>
        <v>房地产抵押价值</v>
      </c>
      <c r="B122" s="3795"/>
      <c r="C122" s="3795"/>
      <c r="D122" s="3832" t="e">
        <f ca="1">H107</f>
        <v>#REF!</v>
      </c>
      <c r="E122" s="3833"/>
      <c r="F122" s="3833"/>
      <c r="G122" s="3833"/>
      <c r="H122" s="3833"/>
      <c r="I122" s="3834"/>
    </row>
    <row r="123" spans="1:11" ht="18.75" customHeight="1">
      <c r="A123" s="3704" t="s">
        <v>2321</v>
      </c>
      <c r="B123" s="3704"/>
      <c r="C123" s="3704"/>
      <c r="D123" s="3804" t="e">
        <f ca="1">NUMBERSTRING(INT(D122*10000),2)&amp;"元整"</f>
        <v>#REF!</v>
      </c>
      <c r="E123" s="3805"/>
      <c r="F123" s="3805"/>
      <c r="G123" s="3805"/>
      <c r="H123" s="3805"/>
      <c r="I123" s="3806"/>
    </row>
    <row r="124" spans="1:11" ht="18.75" customHeight="1">
      <c r="A124" s="3795" t="str">
        <f>IF(项目基本情况!B9="房地产市场价值","",MID(E109,3,LEN(E109)-2))</f>
        <v/>
      </c>
      <c r="B124" s="3795"/>
      <c r="C124" s="3795"/>
      <c r="D124" s="3832" t="str">
        <f>H109</f>
        <v>——</v>
      </c>
      <c r="E124" s="3833"/>
      <c r="F124" s="3833"/>
      <c r="G124" s="3833"/>
      <c r="H124" s="3833"/>
      <c r="I124" s="3834"/>
    </row>
    <row r="125" spans="1:11" ht="18.75" customHeight="1">
      <c r="A125" s="3704" t="s">
        <v>2321</v>
      </c>
      <c r="B125" s="3704"/>
      <c r="C125" s="3704"/>
      <c r="D125" s="3804" t="e">
        <f>NUMBERSTRING(INT(D124*10000),2)&amp;"元整"</f>
        <v>#VALUE!</v>
      </c>
      <c r="E125" s="3805"/>
      <c r="F125" s="3805"/>
      <c r="G125" s="3805"/>
      <c r="H125" s="3805"/>
      <c r="I125" s="3806"/>
    </row>
    <row r="126" spans="1:11" ht="18.75" customHeight="1">
      <c r="A126" s="3795" t="str">
        <f>IF(项目基本情况!B9="房地产市场价值","",MID(E111,3,LEN(E111)-2))</f>
        <v/>
      </c>
      <c r="B126" s="3795"/>
      <c r="C126" s="3795"/>
      <c r="D126" s="3832" t="str">
        <f>H111</f>
        <v>——</v>
      </c>
      <c r="E126" s="3833"/>
      <c r="F126" s="3833"/>
      <c r="G126" s="3833"/>
      <c r="H126" s="3833"/>
      <c r="I126" s="3834"/>
    </row>
    <row r="127" spans="1:11" ht="18.75" customHeight="1">
      <c r="A127" s="3704" t="s">
        <v>2321</v>
      </c>
      <c r="B127" s="3704"/>
      <c r="C127" s="3704"/>
      <c r="D127" s="3804" t="e">
        <f>NUMBERSTRING(INT(D126*10000),2)&amp;"元整"</f>
        <v>#VALUE!</v>
      </c>
      <c r="E127" s="3805"/>
      <c r="F127" s="3805"/>
      <c r="G127" s="3805"/>
      <c r="H127" s="3805"/>
      <c r="I127" s="3806"/>
    </row>
    <row r="128" spans="1:11" ht="21.75" customHeight="1">
      <c r="A128" s="3814" t="s">
        <v>2322</v>
      </c>
      <c r="B128" s="3814"/>
      <c r="C128" s="3814"/>
      <c r="D128" s="3814"/>
      <c r="E128" s="3814"/>
      <c r="F128" s="3814"/>
      <c r="G128" s="3814"/>
      <c r="H128" s="3814"/>
      <c r="I128" s="3814"/>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11000.49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4" t="s">
        <v>2537</v>
      </c>
      <c r="D4" s="3865"/>
      <c r="E4" s="3866" t="s">
        <v>2538</v>
      </c>
      <c r="F4" s="3867"/>
      <c r="G4" s="3864" t="s">
        <v>2539</v>
      </c>
      <c r="H4" s="3865"/>
      <c r="I4" s="3864" t="s">
        <v>2540</v>
      </c>
      <c r="J4" s="3865"/>
      <c r="K4" s="2595" t="s">
        <v>2541</v>
      </c>
      <c r="L4" s="1129"/>
      <c r="M4" s="1130"/>
      <c r="N4" s="1130"/>
      <c r="O4" s="1130"/>
      <c r="P4" s="3868" t="s">
        <v>2542</v>
      </c>
      <c r="Q4" s="3869"/>
      <c r="R4" s="3874" t="s">
        <v>2538</v>
      </c>
      <c r="S4" s="3875"/>
      <c r="T4" s="3874" t="s">
        <v>2539</v>
      </c>
      <c r="U4" s="3875"/>
      <c r="V4" s="3880" t="s">
        <v>2540</v>
      </c>
      <c r="W4" s="3880"/>
      <c r="X4" s="1813"/>
      <c r="Y4" s="3874" t="s">
        <v>2542</v>
      </c>
      <c r="Z4" s="3875"/>
      <c r="AA4" s="3861" t="s">
        <v>2538</v>
      </c>
      <c r="AB4" s="3861" t="s">
        <v>2539</v>
      </c>
      <c r="AC4" s="3861" t="s">
        <v>2540</v>
      </c>
    </row>
    <row r="5" spans="1:29" ht="15">
      <c r="A5" s="404"/>
      <c r="B5" s="405"/>
      <c r="C5" s="3883" t="s">
        <v>2543</v>
      </c>
      <c r="D5" s="3884"/>
      <c r="E5" s="3890" t="s">
        <v>2544</v>
      </c>
      <c r="F5" s="3891"/>
      <c r="G5" s="3883" t="s">
        <v>2545</v>
      </c>
      <c r="H5" s="3884"/>
      <c r="I5" s="3883" t="s">
        <v>2546</v>
      </c>
      <c r="J5" s="3884"/>
      <c r="K5" s="2596"/>
      <c r="L5" s="1129"/>
      <c r="M5" s="1130"/>
      <c r="N5" s="1130"/>
      <c r="O5" s="1130"/>
      <c r="P5" s="3870"/>
      <c r="Q5" s="3871"/>
      <c r="R5" s="3876"/>
      <c r="S5" s="3877"/>
      <c r="T5" s="3876"/>
      <c r="U5" s="3877"/>
      <c r="V5" s="3880"/>
      <c r="W5" s="3880"/>
      <c r="X5" s="1813"/>
      <c r="Y5" s="3876"/>
      <c r="Z5" s="3877"/>
      <c r="AA5" s="3862"/>
      <c r="AB5" s="3862"/>
      <c r="AC5" s="3862"/>
    </row>
    <row r="6" spans="1:29" ht="15.75" thickBot="1">
      <c r="A6" s="406"/>
      <c r="B6" s="407"/>
      <c r="C6" s="3881" t="s">
        <v>2547</v>
      </c>
      <c r="D6" s="3882"/>
      <c r="E6" s="3888" t="s">
        <v>2547</v>
      </c>
      <c r="F6" s="3889"/>
      <c r="G6" s="3881" t="s">
        <v>2547</v>
      </c>
      <c r="H6" s="3882"/>
      <c r="I6" s="3881" t="s">
        <v>2547</v>
      </c>
      <c r="J6" s="3882"/>
      <c r="K6" s="2596" t="s">
        <v>2548</v>
      </c>
      <c r="L6" s="1129"/>
      <c r="M6" s="1130"/>
      <c r="N6" s="1130"/>
      <c r="O6" s="1130"/>
      <c r="P6" s="3872"/>
      <c r="Q6" s="3873"/>
      <c r="R6" s="3876"/>
      <c r="S6" s="3877"/>
      <c r="T6" s="3878"/>
      <c r="U6" s="3879"/>
      <c r="V6" s="3880"/>
      <c r="W6" s="3880"/>
      <c r="X6" s="1813"/>
      <c r="Y6" s="3878"/>
      <c r="Z6" s="3879"/>
      <c r="AA6" s="3863"/>
      <c r="AB6" s="3863"/>
      <c r="AC6" s="3863"/>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5" t="s">
        <v>2550</v>
      </c>
      <c r="Q7" s="3887"/>
      <c r="R7" s="770" t="s">
        <v>23</v>
      </c>
      <c r="S7" s="771">
        <f t="shared" ref="S7:S15" si="0">F7</f>
        <v>0</v>
      </c>
      <c r="T7" s="770" t="s">
        <v>23</v>
      </c>
      <c r="U7" s="771">
        <f t="shared" ref="U7:U15" si="1">H7</f>
        <v>0</v>
      </c>
      <c r="V7" s="770" t="s">
        <v>23</v>
      </c>
      <c r="W7" s="771">
        <f t="shared" ref="W7:W15" si="2">J7</f>
        <v>0</v>
      </c>
      <c r="X7" s="772"/>
      <c r="Y7" s="3885" t="s">
        <v>2550</v>
      </c>
      <c r="Z7" s="3886"/>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85" t="s">
        <v>2553</v>
      </c>
      <c r="Q8" s="3886"/>
      <c r="R8" s="770" t="s">
        <v>23</v>
      </c>
      <c r="S8" s="771">
        <f t="shared" si="0"/>
        <v>100</v>
      </c>
      <c r="T8" s="770" t="s">
        <v>23</v>
      </c>
      <c r="U8" s="771">
        <f t="shared" si="1"/>
        <v>100</v>
      </c>
      <c r="V8" s="770" t="s">
        <v>23</v>
      </c>
      <c r="W8" s="771">
        <f t="shared" si="2"/>
        <v>100</v>
      </c>
      <c r="X8" s="772"/>
      <c r="Y8" s="3885" t="s">
        <v>2553</v>
      </c>
      <c r="Z8" s="3886"/>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60" t="s">
        <v>2556</v>
      </c>
      <c r="Q9" s="1795" t="str">
        <f t="shared" ref="Q9:Q15" si="6">B9</f>
        <v>用途</v>
      </c>
      <c r="R9" s="770" t="s">
        <v>17</v>
      </c>
      <c r="S9" s="771">
        <f t="shared" si="0"/>
        <v>100</v>
      </c>
      <c r="T9" s="770" t="s">
        <v>17</v>
      </c>
      <c r="U9" s="771">
        <f t="shared" si="1"/>
        <v>100</v>
      </c>
      <c r="V9" s="770" t="s">
        <v>17</v>
      </c>
      <c r="W9" s="771">
        <f t="shared" si="2"/>
        <v>100</v>
      </c>
      <c r="X9" s="772"/>
      <c r="Y9" s="370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60"/>
      <c r="Q10" s="1795" t="str">
        <f t="shared" si="6"/>
        <v>土地使用年限（年）</v>
      </c>
      <c r="R10" s="770" t="s">
        <v>17</v>
      </c>
      <c r="S10" s="771">
        <f t="shared" si="0"/>
        <v>100</v>
      </c>
      <c r="T10" s="770" t="s">
        <v>17</v>
      </c>
      <c r="U10" s="771">
        <f t="shared" si="1"/>
        <v>100</v>
      </c>
      <c r="V10" s="770" t="s">
        <v>17</v>
      </c>
      <c r="W10" s="771">
        <f t="shared" si="2"/>
        <v>100</v>
      </c>
      <c r="X10" s="772"/>
      <c r="Y10" s="3704"/>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60"/>
      <c r="Q11" s="1795" t="str">
        <f t="shared" si="6"/>
        <v>容积率</v>
      </c>
      <c r="R11" s="770" t="s">
        <v>21</v>
      </c>
      <c r="S11" s="771">
        <f t="shared" si="0"/>
        <v>100</v>
      </c>
      <c r="T11" s="770" t="s">
        <v>21</v>
      </c>
      <c r="U11" s="771">
        <f t="shared" si="1"/>
        <v>100</v>
      </c>
      <c r="V11" s="770" t="s">
        <v>21</v>
      </c>
      <c r="W11" s="771">
        <f t="shared" si="2"/>
        <v>100</v>
      </c>
      <c r="X11" s="772"/>
      <c r="Y11" s="3704"/>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60"/>
      <c r="Q12" s="1795">
        <f t="shared" si="6"/>
        <v>111</v>
      </c>
      <c r="R12" s="770" t="s">
        <v>21</v>
      </c>
      <c r="S12" s="771">
        <f t="shared" si="0"/>
        <v>100</v>
      </c>
      <c r="T12" s="770" t="s">
        <v>21</v>
      </c>
      <c r="U12" s="771">
        <f t="shared" si="1"/>
        <v>100</v>
      </c>
      <c r="V12" s="770" t="s">
        <v>21</v>
      </c>
      <c r="W12" s="771">
        <f t="shared" si="2"/>
        <v>100</v>
      </c>
      <c r="X12" s="772"/>
      <c r="Y12" s="370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60"/>
      <c r="Q13" s="1795">
        <f t="shared" si="6"/>
        <v>111</v>
      </c>
      <c r="R13" s="770" t="s">
        <v>21</v>
      </c>
      <c r="S13" s="771">
        <f t="shared" si="0"/>
        <v>100</v>
      </c>
      <c r="T13" s="770" t="s">
        <v>21</v>
      </c>
      <c r="U13" s="771">
        <f t="shared" si="1"/>
        <v>100</v>
      </c>
      <c r="V13" s="770" t="s">
        <v>21</v>
      </c>
      <c r="W13" s="771">
        <f t="shared" si="2"/>
        <v>100</v>
      </c>
      <c r="X13" s="772"/>
      <c r="Y13" s="370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60"/>
      <c r="Q14" s="1795">
        <f t="shared" si="6"/>
        <v>111</v>
      </c>
      <c r="R14" s="770" t="s">
        <v>21</v>
      </c>
      <c r="S14" s="771">
        <f t="shared" si="0"/>
        <v>100</v>
      </c>
      <c r="T14" s="770" t="s">
        <v>21</v>
      </c>
      <c r="U14" s="771">
        <f t="shared" si="1"/>
        <v>100</v>
      </c>
      <c r="V14" s="770" t="s">
        <v>21</v>
      </c>
      <c r="W14" s="771">
        <f t="shared" si="2"/>
        <v>100</v>
      </c>
      <c r="X14" s="772"/>
      <c r="Y14" s="3704"/>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8" t="s">
        <v>2561</v>
      </c>
      <c r="Q15" s="1810" t="str">
        <f t="shared" si="6"/>
        <v>居住社区成熟度</v>
      </c>
      <c r="R15" s="774" t="s">
        <v>21</v>
      </c>
      <c r="S15" s="775">
        <f t="shared" si="0"/>
        <v>100</v>
      </c>
      <c r="T15" s="774" t="s">
        <v>21</v>
      </c>
      <c r="U15" s="775">
        <f t="shared" si="1"/>
        <v>100</v>
      </c>
      <c r="V15" s="774" t="s">
        <v>21</v>
      </c>
      <c r="W15" s="775">
        <f t="shared" si="2"/>
        <v>100</v>
      </c>
      <c r="X15" s="1813"/>
      <c r="Y15" s="3851"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59"/>
      <c r="Q16" s="1810"/>
      <c r="R16" s="774"/>
      <c r="S16" s="775"/>
      <c r="T16" s="774"/>
      <c r="U16" s="775"/>
      <c r="V16" s="774"/>
      <c r="W16" s="775"/>
      <c r="X16" s="1813"/>
      <c r="Y16" s="3852"/>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9"/>
      <c r="Q17" s="1810" t="str">
        <f>B17</f>
        <v>交通便捷度</v>
      </c>
      <c r="R17" s="774" t="s">
        <v>21</v>
      </c>
      <c r="S17" s="775">
        <f>F17</f>
        <v>100</v>
      </c>
      <c r="T17" s="774" t="s">
        <v>21</v>
      </c>
      <c r="U17" s="775">
        <f>H17</f>
        <v>100</v>
      </c>
      <c r="V17" s="774" t="s">
        <v>21</v>
      </c>
      <c r="W17" s="775">
        <f>J17</f>
        <v>100</v>
      </c>
      <c r="X17" s="1813"/>
      <c r="Y17" s="385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59"/>
      <c r="Q18" s="1810"/>
      <c r="R18" s="774"/>
      <c r="S18" s="775"/>
      <c r="T18" s="774"/>
      <c r="U18" s="775"/>
      <c r="V18" s="774"/>
      <c r="W18" s="775"/>
      <c r="X18" s="1813"/>
      <c r="Y18" s="3852"/>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9"/>
      <c r="Q19" s="1810" t="str">
        <f>B19</f>
        <v>公共配套设施</v>
      </c>
      <c r="R19" s="774" t="s">
        <v>21</v>
      </c>
      <c r="S19" s="775">
        <f>F19</f>
        <v>100</v>
      </c>
      <c r="T19" s="774" t="s">
        <v>21</v>
      </c>
      <c r="U19" s="775">
        <f>H19</f>
        <v>100</v>
      </c>
      <c r="V19" s="774" t="s">
        <v>21</v>
      </c>
      <c r="W19" s="775">
        <f>J19</f>
        <v>100</v>
      </c>
      <c r="X19" s="1813"/>
      <c r="Y19" s="385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59"/>
      <c r="Q20" s="1810"/>
      <c r="R20" s="774"/>
      <c r="S20" s="775"/>
      <c r="T20" s="774"/>
      <c r="U20" s="775"/>
      <c r="V20" s="774"/>
      <c r="W20" s="775"/>
      <c r="X20" s="1813"/>
      <c r="Y20" s="3852"/>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9"/>
      <c r="Q21" s="1810" t="str">
        <f>B21</f>
        <v>基础设施水平</v>
      </c>
      <c r="R21" s="774" t="s">
        <v>17</v>
      </c>
      <c r="S21" s="775">
        <f>F21</f>
        <v>100</v>
      </c>
      <c r="T21" s="774" t="s">
        <v>17</v>
      </c>
      <c r="U21" s="775">
        <f>H21</f>
        <v>100</v>
      </c>
      <c r="V21" s="774" t="s">
        <v>17</v>
      </c>
      <c r="W21" s="775">
        <f>J21</f>
        <v>100</v>
      </c>
      <c r="X21" s="1813"/>
      <c r="Y21" s="3852"/>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59"/>
      <c r="Q22" s="1810"/>
      <c r="R22" s="774"/>
      <c r="S22" s="775"/>
      <c r="T22" s="774"/>
      <c r="U22" s="775"/>
      <c r="V22" s="774"/>
      <c r="W22" s="775"/>
      <c r="X22" s="1813"/>
      <c r="Y22" s="3852"/>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9"/>
      <c r="Q23" s="1810" t="str">
        <f>B23</f>
        <v>自然及人文环境</v>
      </c>
      <c r="R23" s="774" t="s">
        <v>21</v>
      </c>
      <c r="S23" s="775">
        <f>F23</f>
        <v>100</v>
      </c>
      <c r="T23" s="774" t="s">
        <v>21</v>
      </c>
      <c r="U23" s="775">
        <f>H23</f>
        <v>100</v>
      </c>
      <c r="V23" s="774" t="s">
        <v>21</v>
      </c>
      <c r="W23" s="775">
        <f>J23</f>
        <v>100</v>
      </c>
      <c r="X23" s="1813"/>
      <c r="Y23" s="385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59"/>
      <c r="Q24" s="1810"/>
      <c r="R24" s="774"/>
      <c r="S24" s="775"/>
      <c r="T24" s="774"/>
      <c r="U24" s="775"/>
      <c r="V24" s="774"/>
      <c r="W24" s="775"/>
      <c r="X24" s="1813"/>
      <c r="Y24" s="3852"/>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52"/>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9"/>
      <c r="Q26" s="1810" t="str">
        <f t="shared" si="11"/>
        <v>朝向</v>
      </c>
      <c r="R26" s="774" t="s">
        <v>21</v>
      </c>
      <c r="S26" s="775">
        <f t="shared" si="12"/>
        <v>100</v>
      </c>
      <c r="T26" s="774" t="s">
        <v>21</v>
      </c>
      <c r="U26" s="775">
        <f t="shared" si="13"/>
        <v>100</v>
      </c>
      <c r="V26" s="774" t="s">
        <v>21</v>
      </c>
      <c r="W26" s="775">
        <f t="shared" si="14"/>
        <v>100</v>
      </c>
      <c r="X26" s="1813"/>
      <c r="Y26" s="3852"/>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9"/>
      <c r="Q27" s="1795">
        <f t="shared" si="11"/>
        <v>111</v>
      </c>
      <c r="R27" s="770" t="s">
        <v>21</v>
      </c>
      <c r="S27" s="771">
        <f t="shared" si="12"/>
        <v>100</v>
      </c>
      <c r="T27" s="770" t="s">
        <v>21</v>
      </c>
      <c r="U27" s="771">
        <f t="shared" si="13"/>
        <v>100</v>
      </c>
      <c r="V27" s="770" t="s">
        <v>21</v>
      </c>
      <c r="W27" s="771">
        <f t="shared" si="14"/>
        <v>100</v>
      </c>
      <c r="X27" s="772"/>
      <c r="Y27" s="3852"/>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9"/>
      <c r="Q28" s="1810">
        <f t="shared" si="11"/>
        <v>111</v>
      </c>
      <c r="R28" s="774" t="s">
        <v>21</v>
      </c>
      <c r="S28" s="775">
        <f t="shared" si="12"/>
        <v>100</v>
      </c>
      <c r="T28" s="774" t="s">
        <v>21</v>
      </c>
      <c r="U28" s="775">
        <f t="shared" si="13"/>
        <v>100</v>
      </c>
      <c r="V28" s="774" t="s">
        <v>21</v>
      </c>
      <c r="W28" s="775">
        <f t="shared" si="14"/>
        <v>100</v>
      </c>
      <c r="X28" s="1813"/>
      <c r="Y28" s="3852"/>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9"/>
      <c r="Q29" s="1810">
        <f t="shared" si="11"/>
        <v>111</v>
      </c>
      <c r="R29" s="774" t="s">
        <v>21</v>
      </c>
      <c r="S29" s="775">
        <f t="shared" si="12"/>
        <v>100</v>
      </c>
      <c r="T29" s="774" t="s">
        <v>21</v>
      </c>
      <c r="U29" s="775">
        <f t="shared" si="13"/>
        <v>100</v>
      </c>
      <c r="V29" s="774" t="s">
        <v>21</v>
      </c>
      <c r="W29" s="775">
        <f t="shared" si="14"/>
        <v>100</v>
      </c>
      <c r="X29" s="1813"/>
      <c r="Y29" s="3852"/>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9"/>
      <c r="Q30" s="1810">
        <f t="shared" si="11"/>
        <v>111</v>
      </c>
      <c r="R30" s="774" t="s">
        <v>21</v>
      </c>
      <c r="S30" s="775">
        <f t="shared" si="12"/>
        <v>100</v>
      </c>
      <c r="T30" s="774" t="s">
        <v>21</v>
      </c>
      <c r="U30" s="775">
        <f t="shared" si="13"/>
        <v>100</v>
      </c>
      <c r="V30" s="774" t="s">
        <v>21</v>
      </c>
      <c r="W30" s="775">
        <f t="shared" si="14"/>
        <v>100</v>
      </c>
      <c r="X30" s="1813"/>
      <c r="Y30" s="3852"/>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9"/>
      <c r="Q31" s="1810">
        <f t="shared" si="11"/>
        <v>111</v>
      </c>
      <c r="R31" s="774" t="s">
        <v>21</v>
      </c>
      <c r="S31" s="775">
        <f t="shared" si="12"/>
        <v>100</v>
      </c>
      <c r="T31" s="774" t="s">
        <v>21</v>
      </c>
      <c r="U31" s="775">
        <f t="shared" si="13"/>
        <v>100</v>
      </c>
      <c r="V31" s="774" t="s">
        <v>21</v>
      </c>
      <c r="W31" s="775">
        <f t="shared" si="14"/>
        <v>100</v>
      </c>
      <c r="X31" s="1813"/>
      <c r="Y31" s="3852"/>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3" t="s">
        <v>2566</v>
      </c>
      <c r="Q32" s="1810" t="str">
        <f t="shared" si="11"/>
        <v>建筑类型</v>
      </c>
      <c r="R32" s="774" t="s">
        <v>21</v>
      </c>
      <c r="S32" s="775">
        <f t="shared" si="12"/>
        <v>100</v>
      </c>
      <c r="T32" s="774" t="s">
        <v>21</v>
      </c>
      <c r="U32" s="775">
        <f t="shared" si="13"/>
        <v>100</v>
      </c>
      <c r="V32" s="774" t="s">
        <v>21</v>
      </c>
      <c r="W32" s="775">
        <f t="shared" si="14"/>
        <v>100</v>
      </c>
      <c r="X32" s="1813"/>
      <c r="Y32" s="3856"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54"/>
      <c r="Q33" s="776" t="str">
        <f t="shared" si="11"/>
        <v>项目建筑规模</v>
      </c>
      <c r="R33" s="777" t="s">
        <v>21</v>
      </c>
      <c r="S33" s="778">
        <f t="shared" si="12"/>
        <v>100</v>
      </c>
      <c r="T33" s="777" t="s">
        <v>21</v>
      </c>
      <c r="U33" s="778">
        <f t="shared" si="13"/>
        <v>100</v>
      </c>
      <c r="V33" s="777" t="s">
        <v>21</v>
      </c>
      <c r="W33" s="778">
        <f t="shared" si="14"/>
        <v>100</v>
      </c>
      <c r="X33" s="779"/>
      <c r="Y33" s="3856"/>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4"/>
      <c r="Q34" s="1810" t="str">
        <f t="shared" si="11"/>
        <v>建筑结构</v>
      </c>
      <c r="R34" s="774" t="s">
        <v>21</v>
      </c>
      <c r="S34" s="775">
        <f t="shared" si="12"/>
        <v>100</v>
      </c>
      <c r="T34" s="774" t="s">
        <v>21</v>
      </c>
      <c r="U34" s="775">
        <f t="shared" si="13"/>
        <v>100</v>
      </c>
      <c r="V34" s="774" t="s">
        <v>21</v>
      </c>
      <c r="W34" s="775">
        <f t="shared" si="14"/>
        <v>100</v>
      </c>
      <c r="X34" s="1813"/>
      <c r="Y34" s="3856"/>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4"/>
      <c r="Q35" s="1810" t="str">
        <f t="shared" si="11"/>
        <v>建筑品质</v>
      </c>
      <c r="R35" s="774" t="s">
        <v>21</v>
      </c>
      <c r="S35" s="775">
        <f t="shared" si="12"/>
        <v>100</v>
      </c>
      <c r="T35" s="774" t="s">
        <v>21</v>
      </c>
      <c r="U35" s="775">
        <f t="shared" si="13"/>
        <v>100</v>
      </c>
      <c r="V35" s="774" t="s">
        <v>21</v>
      </c>
      <c r="W35" s="775">
        <f t="shared" si="14"/>
        <v>100</v>
      </c>
      <c r="X35" s="1813"/>
      <c r="Y35" s="3856"/>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4"/>
      <c r="Q36" s="1810" t="str">
        <f t="shared" si="11"/>
        <v>公共部分装修</v>
      </c>
      <c r="R36" s="774" t="s">
        <v>21</v>
      </c>
      <c r="S36" s="775">
        <f t="shared" si="12"/>
        <v>100</v>
      </c>
      <c r="T36" s="774" t="s">
        <v>21</v>
      </c>
      <c r="U36" s="775">
        <f t="shared" si="13"/>
        <v>100</v>
      </c>
      <c r="V36" s="774" t="s">
        <v>21</v>
      </c>
      <c r="W36" s="775">
        <f t="shared" si="14"/>
        <v>100</v>
      </c>
      <c r="X36" s="1813"/>
      <c r="Y36" s="3856"/>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4"/>
      <c r="Q37" s="1795" t="str">
        <f t="shared" si="11"/>
        <v>成新度</v>
      </c>
      <c r="R37" s="770" t="s">
        <v>21</v>
      </c>
      <c r="S37" s="771" t="e">
        <f t="shared" si="12"/>
        <v>#N/A</v>
      </c>
      <c r="T37" s="770" t="s">
        <v>21</v>
      </c>
      <c r="U37" s="771" t="e">
        <f t="shared" si="13"/>
        <v>#N/A</v>
      </c>
      <c r="V37" s="770" t="s">
        <v>21</v>
      </c>
      <c r="W37" s="771" t="e">
        <f t="shared" si="14"/>
        <v>#N/A</v>
      </c>
      <c r="X37" s="772"/>
      <c r="Y37" s="3856"/>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4" t="s">
        <v>2566</v>
      </c>
      <c r="Q38" s="1810" t="str">
        <f t="shared" si="11"/>
        <v>物业管理</v>
      </c>
      <c r="R38" s="774" t="s">
        <v>21</v>
      </c>
      <c r="S38" s="775">
        <f t="shared" si="12"/>
        <v>100</v>
      </c>
      <c r="T38" s="774" t="s">
        <v>21</v>
      </c>
      <c r="U38" s="775">
        <f t="shared" si="13"/>
        <v>100</v>
      </c>
      <c r="V38" s="774" t="s">
        <v>21</v>
      </c>
      <c r="W38" s="775">
        <f t="shared" si="14"/>
        <v>100</v>
      </c>
      <c r="X38" s="1813"/>
      <c r="Y38" s="3856"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4"/>
      <c r="Q39" s="1810" t="str">
        <f t="shared" si="11"/>
        <v>市政基础设施</v>
      </c>
      <c r="R39" s="774" t="s">
        <v>21</v>
      </c>
      <c r="S39" s="775">
        <f t="shared" si="12"/>
        <v>100</v>
      </c>
      <c r="T39" s="774" t="s">
        <v>21</v>
      </c>
      <c r="U39" s="775">
        <f t="shared" si="13"/>
        <v>100</v>
      </c>
      <c r="V39" s="774" t="s">
        <v>21</v>
      </c>
      <c r="W39" s="775">
        <f t="shared" si="14"/>
        <v>100</v>
      </c>
      <c r="X39" s="1813"/>
      <c r="Y39" s="3856"/>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4"/>
      <c r="Q40" s="1810" t="str">
        <f t="shared" si="11"/>
        <v>房型</v>
      </c>
      <c r="R40" s="774" t="s">
        <v>21</v>
      </c>
      <c r="S40" s="775">
        <f t="shared" si="12"/>
        <v>100</v>
      </c>
      <c r="T40" s="774" t="s">
        <v>21</v>
      </c>
      <c r="U40" s="775">
        <f t="shared" si="13"/>
        <v>100</v>
      </c>
      <c r="V40" s="774" t="s">
        <v>21</v>
      </c>
      <c r="W40" s="775">
        <f t="shared" si="14"/>
        <v>100</v>
      </c>
      <c r="X40" s="1813"/>
      <c r="Y40" s="3856"/>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4"/>
      <c r="Q41" s="776" t="str">
        <f t="shared" si="11"/>
        <v>单套/主力户型建筑面积</v>
      </c>
      <c r="R41" s="777" t="s">
        <v>21</v>
      </c>
      <c r="S41" s="778">
        <f t="shared" si="12"/>
        <v>100</v>
      </c>
      <c r="T41" s="777" t="s">
        <v>21</v>
      </c>
      <c r="U41" s="778">
        <f t="shared" si="13"/>
        <v>100</v>
      </c>
      <c r="V41" s="777" t="s">
        <v>21</v>
      </c>
      <c r="W41" s="778">
        <f t="shared" si="14"/>
        <v>100</v>
      </c>
      <c r="X41" s="779"/>
      <c r="Y41" s="3856"/>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4"/>
      <c r="Q42" s="1810" t="str">
        <f t="shared" si="11"/>
        <v>内部装修</v>
      </c>
      <c r="R42" s="774" t="s">
        <v>21</v>
      </c>
      <c r="S42" s="775">
        <f t="shared" si="12"/>
        <v>100</v>
      </c>
      <c r="T42" s="774" t="s">
        <v>21</v>
      </c>
      <c r="U42" s="775">
        <f t="shared" si="13"/>
        <v>100</v>
      </c>
      <c r="V42" s="774" t="s">
        <v>21</v>
      </c>
      <c r="W42" s="775">
        <f t="shared" si="14"/>
        <v>100</v>
      </c>
      <c r="X42" s="1813"/>
      <c r="Y42" s="3856"/>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4"/>
      <c r="Q43" s="1810" t="str">
        <f t="shared" si="11"/>
        <v>内部装修维护情况</v>
      </c>
      <c r="R43" s="774" t="s">
        <v>21</v>
      </c>
      <c r="S43" s="775">
        <f t="shared" si="12"/>
        <v>100</v>
      </c>
      <c r="T43" s="774" t="s">
        <v>21</v>
      </c>
      <c r="U43" s="775">
        <f t="shared" si="13"/>
        <v>100</v>
      </c>
      <c r="V43" s="774" t="s">
        <v>21</v>
      </c>
      <c r="W43" s="775">
        <f t="shared" si="14"/>
        <v>100</v>
      </c>
      <c r="X43" s="1813"/>
      <c r="Y43" s="3856"/>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4"/>
      <c r="Q44" s="1795">
        <f t="shared" si="11"/>
        <v>111</v>
      </c>
      <c r="R44" s="770" t="s">
        <v>21</v>
      </c>
      <c r="S44" s="771">
        <f t="shared" si="12"/>
        <v>100</v>
      </c>
      <c r="T44" s="770" t="s">
        <v>21</v>
      </c>
      <c r="U44" s="771">
        <f t="shared" si="13"/>
        <v>100</v>
      </c>
      <c r="V44" s="770" t="s">
        <v>21</v>
      </c>
      <c r="W44" s="771">
        <f t="shared" si="14"/>
        <v>100</v>
      </c>
      <c r="X44" s="772"/>
      <c r="Y44" s="385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4"/>
      <c r="Q45" s="1810">
        <f t="shared" si="11"/>
        <v>111</v>
      </c>
      <c r="R45" s="774" t="s">
        <v>21</v>
      </c>
      <c r="S45" s="775">
        <f t="shared" si="12"/>
        <v>100</v>
      </c>
      <c r="T45" s="774" t="s">
        <v>21</v>
      </c>
      <c r="U45" s="775">
        <f t="shared" si="13"/>
        <v>100</v>
      </c>
      <c r="V45" s="774" t="s">
        <v>21</v>
      </c>
      <c r="W45" s="775">
        <f t="shared" si="14"/>
        <v>100</v>
      </c>
      <c r="X45" s="1813"/>
      <c r="Y45" s="3856"/>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5"/>
      <c r="Q46" s="1810">
        <f t="shared" si="11"/>
        <v>111</v>
      </c>
      <c r="R46" s="774" t="s">
        <v>20</v>
      </c>
      <c r="S46" s="775">
        <f t="shared" si="12"/>
        <v>100</v>
      </c>
      <c r="T46" s="774" t="s">
        <v>20</v>
      </c>
      <c r="U46" s="775">
        <f t="shared" si="13"/>
        <v>100</v>
      </c>
      <c r="V46" s="774" t="s">
        <v>20</v>
      </c>
      <c r="W46" s="775">
        <f t="shared" si="14"/>
        <v>100</v>
      </c>
      <c r="X46" s="1813"/>
      <c r="Y46" s="3857"/>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49" t="str">
        <f>A47</f>
        <v>成交单价（元/平方米）</v>
      </c>
      <c r="Q47" s="3849"/>
      <c r="R47" s="3850">
        <f>E47</f>
        <v>0</v>
      </c>
      <c r="S47" s="3850"/>
      <c r="T47" s="3850">
        <f>G47</f>
        <v>0</v>
      </c>
      <c r="U47" s="3850"/>
      <c r="V47" s="3850">
        <f>I47</f>
        <v>0</v>
      </c>
      <c r="W47" s="385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6" t="str">
        <f>A49</f>
        <v>估价对象XX用房的比较价值（楼面单价，元/平方米）</v>
      </c>
      <c r="Q49" s="3847"/>
      <c r="R49" s="3848" t="e">
        <f>IF(F1="售价",ROUND(AVERAGE(R48:V48),0),ROUND(AVERAGE(R48:V48),1))</f>
        <v>#DIV/0!</v>
      </c>
      <c r="S49" s="3848"/>
      <c r="T49" s="3848"/>
      <c r="U49" s="3848"/>
      <c r="V49" s="3848"/>
      <c r="W49" s="384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5" stopIfTrue="1" operator="containsText" text="超过">
      <formula>NOT(ISERROR(SEARCH("超过",F52)))</formula>
    </cfRule>
  </conditionalFormatting>
  <conditionalFormatting sqref="J54">
    <cfRule type="containsText" dxfId="186" priority="14" stopIfTrue="1" operator="containsText" text="超过">
      <formula>NOT(ISERROR(SEARCH("超过",J54)))</formula>
    </cfRule>
  </conditionalFormatting>
  <conditionalFormatting sqref="H54">
    <cfRule type="containsText" dxfId="185" priority="13" stopIfTrue="1" operator="containsText" text="超过">
      <formula>NOT(ISERROR(SEARCH("超过",H54)))</formula>
    </cfRule>
  </conditionalFormatting>
  <conditionalFormatting sqref="F54">
    <cfRule type="containsText" dxfId="184" priority="12" stopIfTrue="1" operator="containsText" text="超过">
      <formula>NOT(ISERROR(SEARCH("超过",F54)))</formula>
    </cfRule>
  </conditionalFormatting>
  <conditionalFormatting sqref="F53 H53 J53">
    <cfRule type="containsText" dxfId="183" priority="11" stopIfTrue="1" operator="containsText" text="超过">
      <formula>NOT(ISERROR(SEARCH("超过",F53)))</formula>
    </cfRule>
  </conditionalFormatting>
  <conditionalFormatting sqref="E52">
    <cfRule type="expression" dxfId="182" priority="10" stopIfTrue="1">
      <formula>$F$52="超过30%"</formula>
    </cfRule>
  </conditionalFormatting>
  <conditionalFormatting sqref="G54">
    <cfRule type="expression" dxfId="181" priority="8" stopIfTrue="1">
      <formula>$H$54="超过30%"</formula>
    </cfRule>
  </conditionalFormatting>
  <conditionalFormatting sqref="E53">
    <cfRule type="expression" dxfId="180" priority="7" stopIfTrue="1">
      <formula>$F$53="超过20%"</formula>
    </cfRule>
  </conditionalFormatting>
  <conditionalFormatting sqref="E54">
    <cfRule type="expression" dxfId="179" priority="6" stopIfTrue="1">
      <formula>$F$54="超过30%"</formula>
    </cfRule>
  </conditionalFormatting>
  <conditionalFormatting sqref="G52">
    <cfRule type="expression" dxfId="178" priority="5" stopIfTrue="1">
      <formula>$H$52="超过30%"</formula>
    </cfRule>
  </conditionalFormatting>
  <conditionalFormatting sqref="G53">
    <cfRule type="expression" dxfId="177" priority="4" stopIfTrue="1">
      <formula>$H$53="超过20%"</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60" t="str">
        <f>项目基本情况!B1</f>
        <v>出让国有建设用地使用权及在建建筑物房地产抵押价值预评估</v>
      </c>
      <c r="C37" s="3660"/>
      <c r="D37" s="3660"/>
      <c r="E37" s="3660"/>
      <c r="F37" s="3660"/>
      <c r="G37" s="3660"/>
      <c r="H37" s="3660"/>
      <c r="I37" s="3660"/>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892" t="s">
        <v>1404</v>
      </c>
      <c r="C6" s="1295" t="e">
        <f ca="1">ROUND(F6*F8*F7*(1-F9)/10000,0)</f>
        <v>#N/A</v>
      </c>
      <c r="D6" s="164" t="s">
        <v>3034</v>
      </c>
      <c r="E6" s="347" t="s">
        <v>1406</v>
      </c>
      <c r="F6" s="348" t="e">
        <f ca="1">INDIRECT("'数据-取费表'!u"&amp;$G$1)</f>
        <v>#N/A</v>
      </c>
      <c r="G6" s="1851"/>
      <c r="H6" s="1290" t="s">
        <v>1035</v>
      </c>
      <c r="I6" s="3892" t="s">
        <v>1404</v>
      </c>
      <c r="J6" s="346" t="e">
        <f ca="1">ROUND(M6*M8*M7*(1-M9)/10000,0)</f>
        <v>#N/A</v>
      </c>
      <c r="K6" s="164" t="s">
        <v>3033</v>
      </c>
      <c r="L6" s="347" t="s">
        <v>1406</v>
      </c>
      <c r="M6" s="348" t="e">
        <f ca="1">INDIRECT("'数据-取费表'!z"&amp;$G$1)</f>
        <v>#N/A</v>
      </c>
    </row>
    <row r="7" spans="1:37" ht="18" customHeight="1">
      <c r="A7" s="1294"/>
      <c r="B7" s="3893"/>
      <c r="C7" s="1296"/>
      <c r="D7" s="352"/>
      <c r="E7" s="2951" t="s">
        <v>1407</v>
      </c>
      <c r="F7" s="348" t="e">
        <f ca="1">IF(INDIRECT("'数据-取费表'!ah"&amp;$G$1)="",INDIRECT("'数据-取费表'!k"&amp;$G$1),INDIRECT("'数据-取费表'!ah"&amp;$G$1))</f>
        <v>#N/A</v>
      </c>
      <c r="G7" s="1851"/>
      <c r="H7" s="349"/>
      <c r="I7" s="3893"/>
      <c r="J7" s="351"/>
      <c r="K7" s="352"/>
      <c r="L7" s="347" t="s">
        <v>1407</v>
      </c>
      <c r="M7" s="348" t="e">
        <f ca="1">F7</f>
        <v>#N/A</v>
      </c>
    </row>
    <row r="8" spans="1:37" ht="18" customHeight="1">
      <c r="A8" s="349"/>
      <c r="B8" s="3893"/>
      <c r="C8" s="351"/>
      <c r="D8" s="352"/>
      <c r="E8" s="347" t="s">
        <v>1408</v>
      </c>
      <c r="F8" s="348" t="e">
        <f ca="1">INDIRECT("'数据-取费表'!ai"&amp;$G$1)</f>
        <v>#N/A</v>
      </c>
      <c r="G8" s="1851"/>
      <c r="H8" s="349"/>
      <c r="I8" s="3893"/>
      <c r="J8" s="351"/>
      <c r="K8" s="352"/>
      <c r="L8" s="347" t="s">
        <v>1408</v>
      </c>
      <c r="M8" s="348" t="e">
        <f ca="1">INDIRECT("'数据-取费表'!ai"&amp;$G$1)</f>
        <v>#N/A</v>
      </c>
    </row>
    <row r="9" spans="1:37" ht="18" customHeight="1">
      <c r="A9" s="349"/>
      <c r="B9" s="3894"/>
      <c r="C9" s="351"/>
      <c r="D9" s="352"/>
      <c r="E9" s="347" t="s">
        <v>1409</v>
      </c>
      <c r="F9" s="357" t="e">
        <f ca="1">INDIRECT("'数据-取费表'!w"&amp;$G$1)</f>
        <v>#N/A</v>
      </c>
      <c r="G9" s="1851"/>
      <c r="H9" s="349"/>
      <c r="I9" s="3894"/>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3030</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4" t="s">
        <v>1420</v>
      </c>
      <c r="E14" s="2953"/>
      <c r="F14" s="364"/>
      <c r="G14" s="1851"/>
      <c r="H14" s="1200" t="s">
        <v>1035</v>
      </c>
      <c r="I14" s="347" t="s">
        <v>1421</v>
      </c>
      <c r="J14" s="24" t="e">
        <f ca="1">C29</f>
        <v>#N/A</v>
      </c>
      <c r="K14" s="2950"/>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6"/>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9"/>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t="e">
        <f ca="1">ROUND(J14*M22,1)</f>
        <v>#N/A</v>
      </c>
      <c r="K22" s="2955"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2955"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6"/>
      <c r="F30" s="1293"/>
      <c r="G30" s="1851"/>
      <c r="H30" s="745"/>
      <c r="I30" s="746"/>
      <c r="J30" s="747"/>
      <c r="K30" s="748"/>
      <c r="L30" s="749"/>
      <c r="M30" s="750"/>
    </row>
    <row r="31" spans="1:37" ht="18" customHeight="1">
      <c r="A31" s="1200" t="s">
        <v>1035</v>
      </c>
      <c r="B31" s="347" t="s">
        <v>1431</v>
      </c>
      <c r="C31" s="24" t="e">
        <f ca="1">ROUND(IF(项目基本情况!B11="自然人",C5*F31,C32+C33+C34),1)</f>
        <v>#N/A</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5"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5" t="s">
        <v>1456</v>
      </c>
      <c r="E37" s="347" t="s">
        <v>1457</v>
      </c>
      <c r="F37" s="376" t="e">
        <f ca="1">INDIRECT("'数据-取费表'!Al"&amp;$G$1)</f>
        <v>#N/A</v>
      </c>
      <c r="G37" s="1851"/>
      <c r="H37" s="1859"/>
      <c r="I37" s="1860"/>
      <c r="J37" s="1861"/>
      <c r="K37" s="751"/>
      <c r="L37" s="1859"/>
      <c r="M37" s="1859"/>
    </row>
    <row r="38" spans="1:18" ht="18" customHeight="1" thickBot="1">
      <c r="A38" s="1338" t="s">
        <v>1393</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8"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3033</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t="e">
        <f ca="1">IF(M47="住宅",J51,IF(D1="——",MIN(J51,L48),IF(D1="在建（套用方法）",MIN(J51,L48-'数据-取费表'!B24),IF(D1="土地（套用方法）",MIN(J51,L48-'数据-取费表'!B20)))))</f>
        <v>#N/A</v>
      </c>
      <c r="K53" s="3895" t="s">
        <v>1550</v>
      </c>
      <c r="L53" s="3896"/>
      <c r="O53" s="1884" t="s">
        <v>1046</v>
      </c>
      <c r="P53" s="1885" t="s">
        <v>1551</v>
      </c>
      <c r="Q53" s="1886" t="e">
        <f ca="1">Q47+Q48</f>
        <v>#N/A</v>
      </c>
      <c r="R53" s="1886" t="s">
        <v>1047</v>
      </c>
    </row>
    <row r="54" spans="1:18" s="1842" customFormat="1" ht="13.5" thickBot="1">
      <c r="A54" s="1405"/>
      <c r="B54" s="1825" t="s">
        <v>1389</v>
      </c>
      <c r="C54" s="1177"/>
      <c r="D54" s="1824"/>
      <c r="E54" s="295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1445</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22"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7</v>
      </c>
    </row>
    <row r="2" spans="1:9" s="244" customFormat="1" ht="18" customHeight="1">
      <c r="A2" s="245" t="s">
        <v>2331</v>
      </c>
      <c r="B2" s="246">
        <f ca="1">IF(D2="——",C52,C52-E2)</f>
        <v>3168</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2880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200</v>
      </c>
      <c r="D5" s="255" t="s">
        <v>2338</v>
      </c>
      <c r="E5" s="256" t="s">
        <v>2339</v>
      </c>
      <c r="F5" s="256" t="s">
        <v>2340</v>
      </c>
      <c r="G5" s="257"/>
    </row>
    <row r="6" spans="1:9" s="258" customFormat="1" ht="13.5" customHeight="1">
      <c r="A6" s="948" t="s">
        <v>2341</v>
      </c>
      <c r="B6" s="259" t="s">
        <v>2342</v>
      </c>
      <c r="C6" s="260">
        <v>0</v>
      </c>
      <c r="D6" s="261"/>
      <c r="E6" s="262"/>
      <c r="F6" s="262"/>
      <c r="G6" s="263"/>
    </row>
    <row r="7" spans="1:9" s="258" customFormat="1" ht="13.5" customHeight="1">
      <c r="A7" s="948" t="s">
        <v>2343</v>
      </c>
      <c r="B7" s="259" t="s">
        <v>2344</v>
      </c>
      <c r="C7" s="264">
        <f>ROUND(C6*F7,0)</f>
        <v>0</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200</v>
      </c>
      <c r="D8" s="266"/>
      <c r="E8" s="264"/>
      <c r="F8" s="265"/>
      <c r="G8" s="2549" t="s">
        <v>3678</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200</v>
      </c>
      <c r="F9" s="265"/>
      <c r="G9" s="2550" t="s">
        <v>3677</v>
      </c>
      <c r="H9" s="1389"/>
      <c r="I9" s="2551" t="s">
        <v>2348</v>
      </c>
    </row>
    <row r="10" spans="1:9" s="258" customFormat="1" ht="13.5" customHeight="1">
      <c r="A10" s="949" t="s">
        <v>801</v>
      </c>
      <c r="B10" s="268" t="s">
        <v>2349</v>
      </c>
      <c r="C10" s="269">
        <f ca="1">ROUND(D10*E10/10000,0)</f>
        <v>0</v>
      </c>
      <c r="D10" s="1031">
        <f ca="1">IF(B1="",'数据-汇总表'!E6,IF(INDIRECT("'数据-取费表'!c"&amp;$G$1)="住宅",INDIRECT("'数据-取费表'!s"&amp;$G$1),INDIRECT("'数据-取费表'!k"&amp;$G$1)+INDIRECT("'数据-取费表'!s"&amp;$G$1)))</f>
        <v>11000.49</v>
      </c>
      <c r="E10" s="269">
        <f>'数据-取费表'!B28</f>
        <v>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f ca="1">IF(G19="已包含在土地取得成本中","0",ROUND(D19*E19/10000,0))</f>
        <v>220</v>
      </c>
      <c r="D19" s="1035">
        <f ca="1">D9+D10</f>
        <v>11000.49</v>
      </c>
      <c r="E19" s="255">
        <f>'数据-取费表'!B31</f>
        <v>200</v>
      </c>
      <c r="F19" s="275"/>
      <c r="G19" s="2549" t="s">
        <v>1074</v>
      </c>
    </row>
    <row r="20" spans="1:7" s="258" customFormat="1" ht="13.5" customHeight="1">
      <c r="A20" s="299" t="s">
        <v>2362</v>
      </c>
      <c r="B20" s="254" t="s">
        <v>2363</v>
      </c>
      <c r="C20" s="276">
        <f ca="1">ROUND((C5+C19)*F20,0)</f>
        <v>13</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37</v>
      </c>
      <c r="D22" s="279">
        <f ca="1">C26</f>
        <v>1.2999999999999999E-3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17</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19</v>
      </c>
      <c r="D24" s="282"/>
      <c r="E24" s="282"/>
      <c r="F24" s="283"/>
      <c r="G24" s="284" t="s">
        <v>2376</v>
      </c>
    </row>
    <row r="25" spans="1:7" s="258" customFormat="1" ht="24">
      <c r="A25" s="950" t="s">
        <v>2377</v>
      </c>
      <c r="B25" s="259" t="s">
        <v>2378</v>
      </c>
      <c r="C25" s="1354">
        <f ca="1">ROUND(IF('数据-取费表'!B22&lt;=1,C20*F22*'数据-取费表'!B23/2,C20*(POWER((1+F22),'数据-取费表'!B23/2)-1)),0)</f>
        <v>1</v>
      </c>
      <c r="D25" s="282"/>
      <c r="E25" s="285"/>
      <c r="F25" s="283"/>
      <c r="G25" s="286" t="s">
        <v>2379</v>
      </c>
    </row>
    <row r="26" spans="1:7" s="258" customFormat="1">
      <c r="A26" s="950" t="s">
        <v>795</v>
      </c>
      <c r="B26" s="259" t="s">
        <v>2380</v>
      </c>
      <c r="C26" s="282">
        <f ca="1">ROUND(IF('数据-取费表'!B22&lt;=1,F21*F22*'数据-取费表'!B23/2,F21*(POWER((1+F22),'数据-取费表'!B23/2)-1)),4)</f>
        <v>1.2999999999999999E-3</v>
      </c>
      <c r="D26" s="282"/>
      <c r="E26" s="285"/>
      <c r="F26" s="283"/>
      <c r="G26" s="287"/>
    </row>
    <row r="27" spans="1:7" s="258" customFormat="1" ht="24.75">
      <c r="A27" s="299" t="s">
        <v>2381</v>
      </c>
      <c r="B27" s="288" t="s">
        <v>2382</v>
      </c>
      <c r="C27" s="289">
        <f ca="1">C28</f>
        <v>4</v>
      </c>
      <c r="D27" s="279">
        <f ca="1">C29</f>
        <v>2.9999999999999997E-4</v>
      </c>
      <c r="E27" s="280" t="s">
        <v>2383</v>
      </c>
      <c r="F27" s="290">
        <f ca="1">IF(B1="",'数据-取费表'!Q16,INDIRECT("'数据-取费表'!q"&amp;$G$1))</f>
        <v>0.01</v>
      </c>
      <c r="G27" s="291" t="s">
        <v>2384</v>
      </c>
    </row>
    <row r="28" spans="1:7" s="258" customFormat="1" ht="13.5" customHeight="1">
      <c r="A28" s="950" t="s">
        <v>791</v>
      </c>
      <c r="B28" s="292" t="s">
        <v>2385</v>
      </c>
      <c r="C28" s="293">
        <f ca="1">ROUND((C5+C19+C20)*F27*'数据-取费表'!B21/'数据-取费表'!B20,0)</f>
        <v>4</v>
      </c>
      <c r="D28" s="279"/>
      <c r="E28" s="280"/>
      <c r="F28" s="290"/>
      <c r="G28" s="291"/>
    </row>
    <row r="29" spans="1:7" s="258" customFormat="1" ht="13.5" customHeight="1">
      <c r="A29" s="950" t="s">
        <v>792</v>
      </c>
      <c r="B29" s="292" t="s">
        <v>2386</v>
      </c>
      <c r="C29" s="282">
        <f ca="1">ROUND(C21*F27*'数据-取费表'!B21/'数据-取费表'!B20,4)</f>
        <v>2.9999999999999997E-4</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517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2469</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2156</v>
      </c>
      <c r="D34" s="261"/>
      <c r="E34" s="264"/>
      <c r="F34" s="301">
        <f ca="1">IF('数据-取费表'!B24=0,1,IF(B1="",'数据-取费表'!N16,INDIRECT("'数据-取费表'!n"&amp;$G$1)))</f>
        <v>0.98</v>
      </c>
      <c r="G34" s="263" t="s">
        <v>2395</v>
      </c>
    </row>
    <row r="35" spans="1:7" ht="13.5" customHeight="1">
      <c r="A35" s="950" t="s">
        <v>796</v>
      </c>
      <c r="B35" s="259" t="s">
        <v>2396</v>
      </c>
      <c r="C35" s="264">
        <f ca="1">ROUND(C34*F35,0)</f>
        <v>65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216</v>
      </c>
      <c r="D37" s="261">
        <f ca="1">D19</f>
        <v>11000.49</v>
      </c>
      <c r="E37" s="293">
        <f>'数据-取费表'!B35</f>
        <v>200</v>
      </c>
      <c r="F37" s="303"/>
      <c r="G37" s="305" t="s">
        <v>2401</v>
      </c>
    </row>
    <row r="38" spans="1:7" ht="13.5" customHeight="1">
      <c r="A38" s="950" t="s">
        <v>799</v>
      </c>
      <c r="B38" s="259" t="s">
        <v>2402</v>
      </c>
      <c r="C38" s="264">
        <f ca="1">ROUND(C34*F38,0)</f>
        <v>32</v>
      </c>
      <c r="D38" s="264"/>
      <c r="E38" s="264"/>
      <c r="F38" s="303">
        <f>'数据-取费表'!B36</f>
        <v>1.4999999999999999E-2</v>
      </c>
      <c r="G38" s="263" t="s">
        <v>2397</v>
      </c>
    </row>
    <row r="39" spans="1:7" s="258" customFormat="1" ht="13.5" customHeight="1">
      <c r="A39" s="299" t="s">
        <v>2403</v>
      </c>
      <c r="B39" s="254" t="s">
        <v>2404</v>
      </c>
      <c r="C39" s="276">
        <f ca="1">ROUND(C33*F20,0)</f>
        <v>74</v>
      </c>
      <c r="D39" s="276"/>
      <c r="E39" s="276"/>
      <c r="F39" s="277"/>
      <c r="G39" s="278" t="s">
        <v>2405</v>
      </c>
    </row>
    <row r="40" spans="1:7" s="258" customFormat="1" ht="13.5" customHeight="1">
      <c r="A40" s="3642" t="s">
        <v>2406</v>
      </c>
      <c r="B40" s="3643" t="s">
        <v>2407</v>
      </c>
      <c r="C40" s="3657">
        <v>0</v>
      </c>
      <c r="D40" s="3644" t="s">
        <v>2408</v>
      </c>
      <c r="E40" s="3645"/>
      <c r="F40" s="3646"/>
      <c r="G40" s="3647" t="s">
        <v>2409</v>
      </c>
    </row>
    <row r="41" spans="1:7" s="258" customFormat="1" ht="13.5" customHeight="1">
      <c r="A41" s="299" t="s">
        <v>2410</v>
      </c>
      <c r="B41" s="254" t="s">
        <v>2411</v>
      </c>
      <c r="C41" s="276">
        <f ca="1">ROUND(SUM(C42:C43),0)</f>
        <v>108</v>
      </c>
      <c r="D41" s="279">
        <f ca="1">C44</f>
        <v>0</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105</v>
      </c>
      <c r="D42" s="282"/>
      <c r="E42" s="282"/>
      <c r="F42" s="283"/>
      <c r="G42" s="3897" t="s">
        <v>2413</v>
      </c>
    </row>
    <row r="43" spans="1:7" ht="13.5" customHeight="1">
      <c r="A43" s="950" t="s">
        <v>792</v>
      </c>
      <c r="B43" s="259" t="s">
        <v>2414</v>
      </c>
      <c r="C43" s="282">
        <f ca="1">ROUND(IF('数据-取费表'!B22&lt;=1,C39*F22*'数据-取费表'!B21/2,C39*(POWER((1+F22),'数据-取费表'!B21/2)-1)),0)</f>
        <v>3</v>
      </c>
      <c r="D43" s="282"/>
      <c r="E43" s="282"/>
      <c r="F43" s="283"/>
      <c r="G43" s="3898"/>
    </row>
    <row r="44" spans="1:7" ht="13.5" customHeight="1">
      <c r="A44" s="950" t="s">
        <v>793</v>
      </c>
      <c r="B44" s="259" t="s">
        <v>2415</v>
      </c>
      <c r="C44" s="282">
        <f ca="1">ROUND(IF('数据-取费表'!B22&lt;=1,C40*F22*'数据-取费表'!B21/2,C40*(POWER((1+F22),'数据-取费表'!B21/2)-1)),4)</f>
        <v>0</v>
      </c>
      <c r="D44" s="282"/>
      <c r="E44" s="282"/>
      <c r="F44" s="283"/>
      <c r="G44" s="3899"/>
    </row>
    <row r="45" spans="1:7" s="258" customFormat="1" ht="13.5" customHeight="1">
      <c r="A45" s="3642" t="s">
        <v>2416</v>
      </c>
      <c r="B45" s="3648" t="s">
        <v>2382</v>
      </c>
      <c r="C45" s="3658">
        <v>0</v>
      </c>
      <c r="D45" s="3649">
        <f ca="1">C47</f>
        <v>0</v>
      </c>
      <c r="E45" s="3644" t="s">
        <v>2408</v>
      </c>
      <c r="F45" s="3650"/>
      <c r="G45" s="3651" t="s">
        <v>2417</v>
      </c>
    </row>
    <row r="46" spans="1:7" s="258" customFormat="1" ht="13.5" customHeight="1">
      <c r="A46" s="3652" t="s">
        <v>791</v>
      </c>
      <c r="B46" s="3653" t="s">
        <v>2418</v>
      </c>
      <c r="C46" s="3654">
        <f ca="1">ROUND((C33+C39)*F27,0)</f>
        <v>25</v>
      </c>
      <c r="D46" s="3655"/>
      <c r="E46" s="3644"/>
      <c r="F46" s="3650"/>
      <c r="G46" s="3651"/>
    </row>
    <row r="47" spans="1:7" s="258" customFormat="1" ht="13.5" customHeight="1">
      <c r="A47" s="3652" t="s">
        <v>792</v>
      </c>
      <c r="B47" s="3653" t="s">
        <v>2419</v>
      </c>
      <c r="C47" s="3656">
        <f ca="1">ROUND(C40*F27,4)</f>
        <v>0</v>
      </c>
      <c r="D47" s="3655"/>
      <c r="E47" s="3644"/>
      <c r="F47" s="3650"/>
      <c r="G47" s="3651"/>
    </row>
    <row r="48" spans="1:7" s="258" customFormat="1" ht="13.5" customHeight="1">
      <c r="A48" s="3642" t="s">
        <v>2381</v>
      </c>
      <c r="B48" s="3643" t="s">
        <v>2420</v>
      </c>
      <c r="C48" s="3657">
        <v>0</v>
      </c>
      <c r="D48" s="3644" t="s">
        <v>2408</v>
      </c>
      <c r="E48" s="3645"/>
      <c r="F48" s="3659"/>
      <c r="G48" s="3647" t="s">
        <v>2421</v>
      </c>
    </row>
    <row r="49" spans="1:7" ht="16.5" customHeight="1">
      <c r="A49" s="299" t="s">
        <v>2387</v>
      </c>
      <c r="B49" s="254" t="s">
        <v>2422</v>
      </c>
      <c r="C49" s="276">
        <f ca="1">ROUND((C33+C39+C41+C45)/(1-C40-D41-D45-C48),0)</f>
        <v>2651</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2651</v>
      </c>
      <c r="D51" s="276"/>
      <c r="E51" s="276"/>
      <c r="F51" s="308"/>
      <c r="G51" s="278" t="s">
        <v>2429</v>
      </c>
    </row>
    <row r="52" spans="1:7" s="252" customFormat="1" ht="16.5" thickBot="1">
      <c r="A52" s="309" t="s">
        <v>2430</v>
      </c>
      <c r="B52" s="310"/>
      <c r="C52" s="311">
        <f ca="1">C31+C51</f>
        <v>3168</v>
      </c>
      <c r="D52" s="310"/>
      <c r="E52" s="310"/>
      <c r="F52" s="310"/>
      <c r="G52" s="312"/>
    </row>
    <row r="55" spans="1:7" ht="15">
      <c r="B55" s="314" t="s">
        <v>2431</v>
      </c>
      <c r="C55" s="315"/>
    </row>
    <row r="56" spans="1:7">
      <c r="B56" s="317" t="s">
        <v>1515</v>
      </c>
      <c r="C56" s="319">
        <f ca="1">1-C57</f>
        <v>0.16300000000000003</v>
      </c>
    </row>
    <row r="57" spans="1:7">
      <c r="B57" s="317" t="s">
        <v>1516</v>
      </c>
      <c r="C57" s="318">
        <f ca="1">ROUND(C51/C52,3)</f>
        <v>0.83699999999999997</v>
      </c>
    </row>
  </sheetData>
  <sheetProtection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7</v>
      </c>
      <c r="H1" s="1281" t="str">
        <f>IF(ISERROR(FIND("住宅",B1)),"非住宅","住宅")</f>
        <v>非住宅</v>
      </c>
    </row>
    <row r="2" spans="1:8" s="244" customFormat="1" ht="18" customHeight="1">
      <c r="A2" s="245" t="s">
        <v>2331</v>
      </c>
      <c r="B2" s="246">
        <f ca="1">ROUND(IF(D2="——",C52/10000,C52/10000-E2),0)</f>
        <v>3269</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2972</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0</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0</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200</v>
      </c>
      <c r="F9" s="265"/>
      <c r="G9" s="270"/>
    </row>
    <row r="10" spans="1:8" s="258" customFormat="1" ht="13.5" customHeight="1">
      <c r="A10" s="949" t="s">
        <v>801</v>
      </c>
      <c r="B10" s="268" t="s">
        <v>2349</v>
      </c>
      <c r="C10" s="269">
        <f ca="1">ROUND(D10*E10,0)</f>
        <v>0</v>
      </c>
      <c r="D10" s="1031">
        <f ca="1">IF(B1="",'数据-汇总表'!E6,IF(INDIRECT("'数据-取费表'!c"&amp;$G$1)="住宅",INDIRECT("'数据-取费表'!s"&amp;$G$1),INDIRECT("'数据-取费表'!k"&amp;$G$1)+INDIRECT("'数据-取费表'!s"&amp;$G$1)))</f>
        <v>11000.49</v>
      </c>
      <c r="E10" s="269">
        <f>'数据-取费表'!B28</f>
        <v>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2200098</v>
      </c>
      <c r="D19" s="1035">
        <f ca="1">D9+D10</f>
        <v>11000.49</v>
      </c>
      <c r="E19" s="255">
        <f>'数据-取费表'!B31</f>
        <v>200</v>
      </c>
      <c r="F19" s="275"/>
      <c r="G19" s="2549"/>
    </row>
    <row r="20" spans="1:7" s="258" customFormat="1" ht="13.5" customHeight="1">
      <c r="A20" s="299" t="s">
        <v>2443</v>
      </c>
      <c r="B20" s="254" t="s">
        <v>2444</v>
      </c>
      <c r="C20" s="276">
        <f ca="1">ROUND((C5+C19)*F20,0)</f>
        <v>66003</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217108</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0</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213973</v>
      </c>
      <c r="D24" s="282"/>
      <c r="E24" s="282"/>
      <c r="F24" s="283"/>
      <c r="G24" s="284" t="s">
        <v>2455</v>
      </c>
    </row>
    <row r="25" spans="1:7" s="258" customFormat="1" ht="24">
      <c r="A25" s="950" t="s">
        <v>2345</v>
      </c>
      <c r="B25" s="259" t="s">
        <v>2456</v>
      </c>
      <c r="C25" s="1380">
        <f ca="1">ROUND(IF('数据-取费表'!B22&lt;=1,C20*F22*'数据-取费表'!B22/2,C20*(POWER((1+F22),'数据-取费表'!B22/2)-1)),0)</f>
        <v>3135</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22661</v>
      </c>
      <c r="D27" s="279">
        <f ca="1">C29</f>
        <v>2.9999999999999997E-4</v>
      </c>
      <c r="E27" s="280" t="s">
        <v>2383</v>
      </c>
      <c r="F27" s="290">
        <f ca="1">IF(B1="",'数据-取费表'!Q16,INDIRECT("'数据-取费表'!q"&amp;$G$1))</f>
        <v>0.01</v>
      </c>
      <c r="G27" s="291" t="s">
        <v>2384</v>
      </c>
    </row>
    <row r="28" spans="1:7" s="258" customFormat="1" ht="13.5" customHeight="1">
      <c r="A28" s="950" t="s">
        <v>791</v>
      </c>
      <c r="B28" s="292" t="s">
        <v>2385</v>
      </c>
      <c r="C28" s="293">
        <f ca="1">ROUND((C5+C19+C20)*F27,0)</f>
        <v>22661</v>
      </c>
      <c r="D28" s="279"/>
      <c r="E28" s="280"/>
      <c r="F28" s="290"/>
      <c r="G28" s="291"/>
    </row>
    <row r="29" spans="1:7" s="258" customFormat="1" ht="13.5" customHeight="1">
      <c r="A29" s="950" t="s">
        <v>792</v>
      </c>
      <c r="B29" s="292" t="s">
        <v>2386</v>
      </c>
      <c r="C29" s="282">
        <f ca="1">ROUND(C21*F27,4)</f>
        <v>2.9999999999999997E-4</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2735965</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25191122</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22000980</v>
      </c>
      <c r="D34" s="261"/>
      <c r="E34" s="264"/>
      <c r="F34" s="301"/>
      <c r="G34" s="263"/>
    </row>
    <row r="35" spans="1:7" ht="13.5" customHeight="1">
      <c r="A35" s="950" t="s">
        <v>796</v>
      </c>
      <c r="B35" s="259" t="s">
        <v>2396</v>
      </c>
      <c r="C35" s="264">
        <f ca="1">ROUND(C34*F35,0)</f>
        <v>660029</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2200098</v>
      </c>
      <c r="D37" s="261">
        <f ca="1">D19</f>
        <v>11000.49</v>
      </c>
      <c r="E37" s="293">
        <f>'数据-取费表'!B35</f>
        <v>200</v>
      </c>
      <c r="F37" s="303"/>
      <c r="G37" s="305"/>
    </row>
    <row r="38" spans="1:7" ht="13.5" customHeight="1">
      <c r="A38" s="950" t="s">
        <v>799</v>
      </c>
      <c r="B38" s="259" t="s">
        <v>2402</v>
      </c>
      <c r="C38" s="264">
        <f ca="1">ROUND(C34*F38,0)</f>
        <v>330015</v>
      </c>
      <c r="D38" s="264"/>
      <c r="E38" s="264"/>
      <c r="F38" s="303">
        <f>'数据-取费表'!B36</f>
        <v>1.4999999999999999E-2</v>
      </c>
      <c r="G38" s="263" t="s">
        <v>2397</v>
      </c>
    </row>
    <row r="39" spans="1:7" s="258" customFormat="1" ht="13.5" customHeight="1">
      <c r="A39" s="299" t="s">
        <v>2403</v>
      </c>
      <c r="B39" s="254" t="s">
        <v>2404</v>
      </c>
      <c r="C39" s="276">
        <f ca="1">ROUND(C33*F20,0)</f>
        <v>755734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1232475</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1196578</v>
      </c>
      <c r="D42" s="282"/>
      <c r="E42" s="282"/>
      <c r="F42" s="283"/>
      <c r="G42" s="3897" t="s">
        <v>2460</v>
      </c>
    </row>
    <row r="43" spans="1:7" ht="13.5" customHeight="1">
      <c r="A43" s="950" t="s">
        <v>792</v>
      </c>
      <c r="B43" s="259" t="s">
        <v>2414</v>
      </c>
      <c r="C43" s="282">
        <f ca="1">ROUND(IF('数据-取费表'!B22&lt;=1,C39*F22*'数据-取费表'!B20/2,C39*(POWER((1+F22),'数据-取费表'!B20/2)-1)),0)</f>
        <v>35897</v>
      </c>
      <c r="D43" s="282"/>
      <c r="E43" s="282"/>
      <c r="F43" s="283"/>
      <c r="G43" s="3898"/>
    </row>
    <row r="44" spans="1:7" ht="13.5" customHeight="1">
      <c r="A44" s="950" t="s">
        <v>793</v>
      </c>
      <c r="B44" s="259" t="s">
        <v>2415</v>
      </c>
      <c r="C44" s="282">
        <f ca="1">ROUND(IF('数据-取费表'!B22&lt;=1,C40*F22*'数据-取费表'!B20/2,C40*(POWER((1+F22),'数据-取费表'!B20/2)-1)),4)</f>
        <v>1.4E-3</v>
      </c>
      <c r="D44" s="282"/>
      <c r="E44" s="282"/>
      <c r="F44" s="283"/>
      <c r="G44" s="3899"/>
    </row>
    <row r="45" spans="1:7" s="258" customFormat="1" ht="13.5" customHeight="1">
      <c r="A45" s="299" t="s">
        <v>2416</v>
      </c>
      <c r="B45" s="288" t="s">
        <v>2382</v>
      </c>
      <c r="C45" s="289">
        <f ca="1">C46</f>
        <v>259469</v>
      </c>
      <c r="D45" s="279">
        <f ca="1">C47</f>
        <v>2.9999999999999997E-4</v>
      </c>
      <c r="E45" s="280" t="s">
        <v>2408</v>
      </c>
      <c r="F45" s="290"/>
      <c r="G45" s="291" t="s">
        <v>2417</v>
      </c>
    </row>
    <row r="46" spans="1:7" s="258" customFormat="1" ht="13.5" customHeight="1">
      <c r="A46" s="950" t="s">
        <v>791</v>
      </c>
      <c r="B46" s="292" t="s">
        <v>2418</v>
      </c>
      <c r="C46" s="293">
        <f ca="1">ROUND((C33+C39)*F27,0)</f>
        <v>259469</v>
      </c>
      <c r="D46" s="307"/>
      <c r="E46" s="280"/>
      <c r="F46" s="290"/>
      <c r="G46" s="291"/>
    </row>
    <row r="47" spans="1:7" s="258" customFormat="1" ht="13.5" customHeight="1">
      <c r="A47" s="950" t="s">
        <v>792</v>
      </c>
      <c r="B47" s="292" t="s">
        <v>2419</v>
      </c>
      <c r="C47" s="282">
        <f ca="1">ROUND(C40*F27,4)</f>
        <v>2.9999999999999997E-4</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29958292</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29958292</v>
      </c>
      <c r="D51" s="276"/>
      <c r="E51" s="276"/>
      <c r="F51" s="308"/>
      <c r="G51" s="278" t="s">
        <v>2429</v>
      </c>
    </row>
    <row r="52" spans="1:7" s="252" customFormat="1" ht="16.5" thickBot="1">
      <c r="A52" s="309" t="s">
        <v>2430</v>
      </c>
      <c r="B52" s="310"/>
      <c r="C52" s="311">
        <f ca="1">C31+C51</f>
        <v>32694257</v>
      </c>
      <c r="D52" s="310"/>
      <c r="E52" s="310"/>
      <c r="F52" s="310"/>
      <c r="G52" s="312"/>
    </row>
    <row r="55" spans="1:7" ht="15">
      <c r="B55" s="314" t="s">
        <v>2431</v>
      </c>
      <c r="C55" s="315"/>
    </row>
    <row r="56" spans="1:7">
      <c r="B56" s="317" t="s">
        <v>1515</v>
      </c>
      <c r="C56" s="319">
        <f ca="1">1-C57</f>
        <v>8.3999999999999964E-2</v>
      </c>
    </row>
    <row r="57" spans="1:7">
      <c r="B57" s="317" t="s">
        <v>1516</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21" sqref="G2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11000.49</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9273</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19355</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8430</v>
      </c>
      <c r="C3" s="2720" t="s">
        <v>2820</v>
      </c>
      <c r="D3" s="2721" t="s">
        <v>2821</v>
      </c>
      <c r="E3" s="2726" t="s">
        <v>3067</v>
      </c>
      <c r="F3" s="2727" t="s">
        <v>3068</v>
      </c>
      <c r="G3" s="912">
        <f>IF(F3="宗地容积率",'数据-汇总表'!I4,IF(F3="估价对象容积率",'数据-汇总表'!I6,'数据-汇总表'!I7))</f>
        <v>5.27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13893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903"/>
      <c r="B4" s="3904"/>
      <c r="C4" s="3904"/>
      <c r="D4" s="3905"/>
      <c r="E4" s="3905"/>
      <c r="F4" s="3905"/>
      <c r="G4" s="3905"/>
      <c r="H4" s="3905"/>
      <c r="I4" s="3905"/>
      <c r="J4" s="3906"/>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11208</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8993</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7658</v>
      </c>
      <c r="U6" s="1603"/>
      <c r="V6" s="1602">
        <f t="shared" ca="1" si="1"/>
        <v>0</v>
      </c>
      <c r="W6" s="1606"/>
      <c r="X6" s="1606"/>
      <c r="Y6" s="1606"/>
      <c r="Z6" s="1606"/>
      <c r="AA6" s="1606"/>
      <c r="AB6" s="1606"/>
      <c r="AC6" s="2734"/>
      <c r="AD6" s="2735"/>
      <c r="AE6" s="2735"/>
      <c r="AF6" s="2735"/>
      <c r="AG6" s="2735"/>
      <c r="AH6" s="2735"/>
      <c r="AI6" s="2735"/>
      <c r="AJ6" s="2736"/>
    </row>
    <row r="7" spans="1:36" ht="24">
      <c r="A7" s="3907" t="str">
        <f>IF(E2="商业",IF(C8="不临58条商业街","",2),"")</f>
        <v/>
      </c>
      <c r="B7" s="2744" t="s">
        <v>2832</v>
      </c>
      <c r="C7" s="915" t="e">
        <f>IF(C8="不临58条商业街",1,ROUND(1+(1.6*E8+1.2*E9+0.8*E10+0.4*E11)*C9,4))</f>
        <v>#DIV/0!</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6735</v>
      </c>
      <c r="U7" s="1603"/>
      <c r="V7" s="1602">
        <f t="shared" ca="1" si="1"/>
        <v>0</v>
      </c>
      <c r="W7" s="1816" t="s">
        <v>2835</v>
      </c>
      <c r="X7" s="1604" t="str">
        <f>G2</f>
        <v>六级</v>
      </c>
      <c r="Y7" s="1604" t="s">
        <v>2836</v>
      </c>
      <c r="Z7" s="1605">
        <f>G3</f>
        <v>5.27</v>
      </c>
      <c r="AA7" s="1606"/>
      <c r="AB7" s="1606"/>
      <c r="AC7" s="1607"/>
      <c r="AD7" s="1608"/>
      <c r="AE7" s="1608"/>
      <c r="AF7" s="1608"/>
      <c r="AG7" s="1608"/>
      <c r="AH7" s="1608"/>
      <c r="AI7" s="1608"/>
      <c r="AJ7" s="1609"/>
    </row>
    <row r="8" spans="1:36" ht="15">
      <c r="A8" s="3908"/>
      <c r="B8" s="198" t="s">
        <v>2837</v>
      </c>
      <c r="C8" s="2749"/>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900" t="s">
        <v>2840</v>
      </c>
      <c r="X8" s="3901"/>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8"/>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902"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8"/>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90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8"/>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902" t="s">
        <v>2864</v>
      </c>
      <c r="X11" s="1614" t="s">
        <v>2865</v>
      </c>
      <c r="Y11" s="1615">
        <f>$G$3</f>
        <v>5.27</v>
      </c>
      <c r="Z11" s="1615">
        <f t="shared" ref="Z11:AJ11" si="3">$G$3</f>
        <v>5.27</v>
      </c>
      <c r="AA11" s="1615">
        <f t="shared" si="3"/>
        <v>5.27</v>
      </c>
      <c r="AB11" s="1615">
        <f t="shared" si="3"/>
        <v>5.27</v>
      </c>
      <c r="AC11" s="1615">
        <f t="shared" si="3"/>
        <v>5.27</v>
      </c>
      <c r="AD11" s="1615">
        <f t="shared" si="3"/>
        <v>5.27</v>
      </c>
      <c r="AE11" s="1615">
        <f t="shared" si="3"/>
        <v>5.27</v>
      </c>
      <c r="AF11" s="1615">
        <f t="shared" si="3"/>
        <v>5.27</v>
      </c>
      <c r="AG11" s="1615">
        <f t="shared" si="3"/>
        <v>5.27</v>
      </c>
      <c r="AH11" s="1615">
        <f t="shared" si="3"/>
        <v>5.27</v>
      </c>
      <c r="AI11" s="1615">
        <f t="shared" si="3"/>
        <v>5.27</v>
      </c>
      <c r="AJ11" s="1615">
        <f t="shared" si="3"/>
        <v>5.27</v>
      </c>
    </row>
    <row r="12" spans="1:36" ht="25.5" thickBot="1">
      <c r="A12" s="3907"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902"/>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9"/>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902"/>
      <c r="X13" s="1616"/>
      <c r="Y13" s="1613">
        <f>(-0.163*(Y12^2)-0.59*Y12+7617)*(10^(-4))/Y11</f>
        <v>0.1445351043643264</v>
      </c>
      <c r="Z13" s="1613">
        <f t="shared" ref="Z13:AJ13" si="5">(-0.163*(Z12^2)-0.59*Z12+7617)*(10^(-4))/Z11</f>
        <v>0.1445351043643264</v>
      </c>
      <c r="AA13" s="1613">
        <f t="shared" si="5"/>
        <v>0.1445351043643264</v>
      </c>
      <c r="AB13" s="1613">
        <f t="shared" si="5"/>
        <v>0.1445351043643264</v>
      </c>
      <c r="AC13" s="1613">
        <f t="shared" si="5"/>
        <v>0.1445351043643264</v>
      </c>
      <c r="AD13" s="1613">
        <f t="shared" si="5"/>
        <v>0.1445351043643264</v>
      </c>
      <c r="AE13" s="1613">
        <f t="shared" si="5"/>
        <v>0.1445351043643264</v>
      </c>
      <c r="AF13" s="1613">
        <f t="shared" si="5"/>
        <v>0.1445351043643264</v>
      </c>
      <c r="AG13" s="1613">
        <f t="shared" si="5"/>
        <v>0.1445351043643264</v>
      </c>
      <c r="AH13" s="1613">
        <f t="shared" si="5"/>
        <v>0.1445351043643264</v>
      </c>
      <c r="AI13" s="1613">
        <f t="shared" si="5"/>
        <v>0.1445351043643264</v>
      </c>
      <c r="AJ13" s="1613">
        <f t="shared" si="5"/>
        <v>0.1445351043643264</v>
      </c>
    </row>
    <row r="14" spans="1:36" ht="15">
      <c r="A14" s="3909"/>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10"/>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907"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8"/>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v>
      </c>
      <c r="D19" s="2796" t="s">
        <v>2893</v>
      </c>
      <c r="E19" s="924">
        <v>41640</v>
      </c>
      <c r="F19" s="2796" t="s">
        <v>2894</v>
      </c>
      <c r="G19" s="925">
        <f>'数据-取费表'!B2</f>
        <v>43110</v>
      </c>
      <c r="H19" s="2797" t="s">
        <v>3676</v>
      </c>
      <c r="I19" s="926">
        <f>IF(H19="季度增幅（自定义）",SUMIF(N21:N24,E2,O21:O24),"")</f>
        <v>0</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ROUND(SUMPRODUCT((地价!A5:A20=YEAR(G19)&amp;"-"&amp;ROUNDUP(MONTH(G19)/3,0))*(地价!B2:F2=E2)*(地价!B5:F20)),0)</f>
        <v>0</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0.81140000000000001</v>
      </c>
      <c r="D21" s="2812"/>
      <c r="E21" s="2812"/>
      <c r="F21" s="2812"/>
      <c r="G21" s="2812"/>
      <c r="H21" s="2812"/>
      <c r="I21" s="2812"/>
      <c r="J21" s="2813"/>
      <c r="K21" s="1376"/>
      <c r="N21" s="2814" t="s">
        <v>2904</v>
      </c>
      <c r="O21" s="1561"/>
      <c r="P21" s="1562">
        <f>SUMPRODUCT((地价!A3:A20=YEAR(G19)&amp;"-"&amp;ROUNDUP(MONTH(G19)/3,0))*(地价!AD2:AH2=N21)*(地价!AD3:AH20))</f>
        <v>0</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0.81140000000000001</v>
      </c>
      <c r="E22" s="912">
        <f>ROUNDDOWN(G3,1)</f>
        <v>5.2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0.81359999999999999</v>
      </c>
      <c r="G22" s="912">
        <f>ROUNDUP(G3,1)</f>
        <v>5.3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1810" t="s">
        <v>155</v>
      </c>
      <c r="J22" s="937" t="str">
        <f>IF(G3&gt;10,D113,"——")</f>
        <v>——</v>
      </c>
      <c r="K22" s="1376"/>
      <c r="N22" s="2814" t="s">
        <v>2908</v>
      </c>
      <c r="O22" s="1561"/>
      <c r="P22" s="1562">
        <f>SUMPRODUCT((地价!A3:A20=YEAR(G19)&amp;"-"&amp;ROUNDUP(MONTH(G19)/3,0))*(地价!AD2:AH2=N22)*(地价!AD3:AH20))</f>
        <v>0</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0</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1.1176999999999999</v>
      </c>
      <c r="D24" s="2792"/>
      <c r="E24" s="2822"/>
      <c r="F24" s="2822"/>
      <c r="G24" s="2822"/>
      <c r="H24" s="2822"/>
      <c r="I24" s="2822"/>
      <c r="J24" s="2823"/>
      <c r="K24" s="1376"/>
      <c r="N24" s="2824" t="s">
        <v>2913</v>
      </c>
      <c r="O24" s="1563"/>
      <c r="P24" s="1564">
        <f>SUMPRODUCT((地价!A3:A20=YEAR(G19)&amp;"-"&amp;ROUNDUP(MONTH(G19)/3,0))*(地价!AD2:AH2=N24)*(地价!AD3:AH20))</f>
        <v>0</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0</v>
      </c>
      <c r="R25" s="1375"/>
      <c r="S25" s="1375"/>
      <c r="T25" s="1370"/>
      <c r="U25" s="1370"/>
      <c r="V25" s="1370"/>
      <c r="W25" s="1369"/>
      <c r="X25" s="1369"/>
      <c r="Y25" s="1369"/>
      <c r="Z25" s="1376"/>
      <c r="AA25" s="1377"/>
      <c r="AB25" s="1377"/>
      <c r="AC25" s="1377"/>
      <c r="AD25" s="1377"/>
    </row>
    <row r="26" spans="1:37" ht="15">
      <c r="A26" s="2828"/>
      <c r="B26" s="2815" t="s">
        <v>2916</v>
      </c>
      <c r="C26" s="206">
        <f ca="1">E29+SUM(E33:E39)</f>
        <v>9273</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8430</v>
      </c>
      <c r="D29" s="2844">
        <f>'数据-汇总表'!F19+'数据-汇总表'!F20</f>
        <v>11000.49</v>
      </c>
      <c r="E29" s="941">
        <f ca="1">ROUND(C29*D29/10000,0)</f>
        <v>9273</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2108</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17" t="s">
        <v>2930</v>
      </c>
      <c r="B33" s="2860" t="s">
        <v>2931</v>
      </c>
      <c r="C33" s="206">
        <f ca="1">ROUND(D5*C19*C20*C24*F33,0)</f>
        <v>0</v>
      </c>
      <c r="D33" s="2844">
        <f>'数据-汇总表'!G22</f>
        <v>0</v>
      </c>
      <c r="E33" s="200">
        <f ca="1">ROUND(C33*D33/10000,0)</f>
        <v>0</v>
      </c>
      <c r="F33" s="200">
        <f>SUMIF(修正!A45:A56,G2,修正!B45:B56)</f>
        <v>0.7</v>
      </c>
      <c r="G33" s="200">
        <f t="shared" ref="G33:G39" ca="1" si="6">ROUND(IF(E2="工业",C33*$M$39,C33*$M$38),0)</f>
        <v>0</v>
      </c>
      <c r="H33" s="200">
        <f>D33</f>
        <v>0</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8"/>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8"/>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9"/>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2597</v>
      </c>
      <c r="D37" s="2844"/>
      <c r="E37" s="200">
        <f t="shared" ca="1" si="7"/>
        <v>0</v>
      </c>
      <c r="F37" s="206">
        <f>SUMIF(修正!A45:A56,G2,修正!F45:F56)</f>
        <v>0.25</v>
      </c>
      <c r="G37" s="200">
        <f t="shared" ca="1" si="6"/>
        <v>649</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2597</v>
      </c>
      <c r="D38" s="2844">
        <f>'数据-汇总表'!G21</f>
        <v>0</v>
      </c>
      <c r="E38" s="200">
        <f t="shared" ca="1" si="7"/>
        <v>0</v>
      </c>
      <c r="F38" s="206">
        <f>SUMIF(修正!A45:A56,G2,修正!G45:G56)</f>
        <v>0.25</v>
      </c>
      <c r="G38" s="200">
        <f t="shared" ca="1" si="6"/>
        <v>649</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2078</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11" t="s">
        <v>2972</v>
      </c>
      <c r="B90" s="3911"/>
      <c r="C90" s="3911"/>
      <c r="D90" s="3911"/>
      <c r="E90" s="3911"/>
      <c r="F90" s="3911"/>
      <c r="G90" s="3911"/>
      <c r="H90" s="3911"/>
      <c r="I90" s="3911"/>
      <c r="J90" s="3911"/>
      <c r="K90" s="2891"/>
      <c r="L90" s="2891"/>
      <c r="M90" s="2891"/>
      <c r="N90" s="2891"/>
    </row>
    <row r="91" spans="1:37">
      <c r="A91" s="3913" t="s">
        <v>2973</v>
      </c>
      <c r="B91" s="3913" t="s">
        <v>2974</v>
      </c>
      <c r="C91" s="2845" t="s">
        <v>2975</v>
      </c>
      <c r="D91" s="2846"/>
      <c r="E91" s="2846"/>
      <c r="F91" s="2846"/>
      <c r="G91" s="2846"/>
      <c r="H91" s="2846"/>
      <c r="I91" s="2846"/>
      <c r="J91" s="2892"/>
      <c r="K91" s="2893"/>
      <c r="L91" s="2893"/>
      <c r="M91" s="2893"/>
      <c r="N91" s="2893"/>
    </row>
    <row r="92" spans="1:37">
      <c r="A92" s="3913"/>
      <c r="B92" s="3913"/>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14"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1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1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1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1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1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15"/>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1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14" t="s">
        <v>2977</v>
      </c>
      <c r="B101" s="2898" t="s">
        <v>2978</v>
      </c>
      <c r="C101" s="2899">
        <f>$G$3</f>
        <v>5.27</v>
      </c>
      <c r="D101" s="2899">
        <f t="shared" ref="D101:N101" si="31">$G$3</f>
        <v>5.27</v>
      </c>
      <c r="E101" s="2899">
        <f t="shared" si="31"/>
        <v>5.27</v>
      </c>
      <c r="F101" s="2899">
        <f t="shared" si="31"/>
        <v>5.27</v>
      </c>
      <c r="G101" s="2899">
        <f t="shared" si="31"/>
        <v>5.27</v>
      </c>
      <c r="H101" s="2899">
        <f t="shared" si="31"/>
        <v>5.27</v>
      </c>
      <c r="I101" s="2899">
        <f t="shared" si="31"/>
        <v>5.27</v>
      </c>
      <c r="J101" s="2899">
        <f t="shared" si="31"/>
        <v>5.27</v>
      </c>
      <c r="K101" s="2899">
        <f t="shared" si="31"/>
        <v>5.27</v>
      </c>
      <c r="L101" s="2899">
        <f t="shared" si="31"/>
        <v>5.27</v>
      </c>
      <c r="M101" s="2899">
        <f t="shared" si="31"/>
        <v>5.27</v>
      </c>
      <c r="N101" s="2899">
        <f t="shared" si="31"/>
        <v>5.27</v>
      </c>
    </row>
    <row r="102" spans="1:14">
      <c r="A102" s="3915"/>
      <c r="B102" s="2894">
        <v>1</v>
      </c>
      <c r="C102" s="2895">
        <f>1.9362/C101</f>
        <v>0.36740037950664139</v>
      </c>
      <c r="D102" s="2895">
        <f>1.9362/D101</f>
        <v>0.36740037950664139</v>
      </c>
      <c r="E102" s="2895">
        <f>1.8629/E101</f>
        <v>0.35349146110056928</v>
      </c>
      <c r="F102" s="2895">
        <f>1.8629/F101</f>
        <v>0.35349146110056928</v>
      </c>
      <c r="G102" s="2895">
        <f>1.8629/G101</f>
        <v>0.35349146110056928</v>
      </c>
      <c r="H102" s="2895">
        <f>1.8629/H101</f>
        <v>0.35349146110056928</v>
      </c>
      <c r="I102" s="2895">
        <f>1.8629/I101</f>
        <v>0.35349146110056928</v>
      </c>
      <c r="J102" s="2895">
        <f>1.942/J101</f>
        <v>0.36850094876660344</v>
      </c>
      <c r="K102" s="2895">
        <f>1.942/K101</f>
        <v>0.36850094876660344</v>
      </c>
      <c r="L102" s="2895">
        <f>1.942/L101</f>
        <v>0.36850094876660344</v>
      </c>
      <c r="M102" s="2895">
        <f>1.942/M101</f>
        <v>0.36850094876660344</v>
      </c>
      <c r="N102" s="2895">
        <f>1.942/N101</f>
        <v>0.36850094876660344</v>
      </c>
    </row>
    <row r="103" spans="1:14">
      <c r="A103" s="3915"/>
      <c r="B103" s="2894">
        <v>2</v>
      </c>
      <c r="C103" s="2895">
        <f>1.4198/C101</f>
        <v>0.26941176470588235</v>
      </c>
      <c r="D103" s="2895">
        <f>1.4198/D101</f>
        <v>0.26941176470588235</v>
      </c>
      <c r="E103" s="2895">
        <f>1.3372/E101</f>
        <v>0.25373814041745729</v>
      </c>
      <c r="F103" s="2895">
        <f>1.3372/F101</f>
        <v>0.25373814041745729</v>
      </c>
      <c r="G103" s="2895">
        <f>1.3372/G101</f>
        <v>0.25373814041745729</v>
      </c>
      <c r="H103" s="2895">
        <f>1.3372/H101</f>
        <v>0.25373814041745729</v>
      </c>
      <c r="I103" s="2895">
        <f>1.3372/I101</f>
        <v>0.25373814041745729</v>
      </c>
      <c r="J103" s="2895">
        <f>1.2799/J101</f>
        <v>0.24286527514231501</v>
      </c>
      <c r="K103" s="2895">
        <f>1.2799/K101</f>
        <v>0.24286527514231501</v>
      </c>
      <c r="L103" s="2895">
        <f>1.2799/L101</f>
        <v>0.24286527514231501</v>
      </c>
      <c r="M103" s="2895">
        <f>1.2799/M101</f>
        <v>0.24286527514231501</v>
      </c>
      <c r="N103" s="2895">
        <f>1.2799/N101</f>
        <v>0.24286527514231501</v>
      </c>
    </row>
    <row r="104" spans="1:14">
      <c r="A104" s="3915"/>
      <c r="B104" s="2894">
        <v>3</v>
      </c>
      <c r="C104" s="2895">
        <f>1.1594/C101</f>
        <v>0.22000000000000003</v>
      </c>
      <c r="D104" s="2895">
        <f>1.1594/D101</f>
        <v>0.22000000000000003</v>
      </c>
      <c r="E104" s="2895">
        <f>1.0788/E101</f>
        <v>0.20470588235294118</v>
      </c>
      <c r="F104" s="2895">
        <f>1.0788/F101</f>
        <v>0.20470588235294118</v>
      </c>
      <c r="G104" s="2895">
        <f>1.0788/G101</f>
        <v>0.20470588235294118</v>
      </c>
      <c r="H104" s="2895">
        <f>1.0788/H101</f>
        <v>0.20470588235294118</v>
      </c>
      <c r="I104" s="2895">
        <f>1.0788/I101</f>
        <v>0.20470588235294118</v>
      </c>
      <c r="J104" s="2895">
        <f>1.0072/J101</f>
        <v>0.1911195445920304</v>
      </c>
      <c r="K104" s="2895">
        <f>1.0072/K101</f>
        <v>0.1911195445920304</v>
      </c>
      <c r="L104" s="2895">
        <f>1.0072/L101</f>
        <v>0.1911195445920304</v>
      </c>
      <c r="M104" s="2895">
        <f>1.0072/M101</f>
        <v>0.1911195445920304</v>
      </c>
      <c r="N104" s="2895">
        <f>1.0072/N101</f>
        <v>0.1911195445920304</v>
      </c>
    </row>
    <row r="105" spans="1:14">
      <c r="A105" s="3915"/>
      <c r="B105" s="2894">
        <v>4</v>
      </c>
      <c r="C105" s="2895">
        <f>0.9622/C101</f>
        <v>0.18258064516129036</v>
      </c>
      <c r="D105" s="2895">
        <f>0.9622/D101</f>
        <v>0.18258064516129036</v>
      </c>
      <c r="E105" s="2895">
        <f>0.8656/E101</f>
        <v>0.16425047438330173</v>
      </c>
      <c r="F105" s="2895">
        <f>0.8656/F101</f>
        <v>0.16425047438330173</v>
      </c>
      <c r="G105" s="2895">
        <f>0.8656/G101</f>
        <v>0.16425047438330173</v>
      </c>
      <c r="H105" s="2895">
        <f>0.8656/H101</f>
        <v>0.16425047438330173</v>
      </c>
      <c r="I105" s="2895">
        <f>0.8656/I101</f>
        <v>0.16425047438330173</v>
      </c>
      <c r="J105" s="2895">
        <f>0.7525/J101</f>
        <v>0.14278937381404175</v>
      </c>
      <c r="K105" s="2895">
        <f>0.7525/K101</f>
        <v>0.14278937381404175</v>
      </c>
      <c r="L105" s="2895">
        <f>0.7525/L101</f>
        <v>0.14278937381404175</v>
      </c>
      <c r="M105" s="2895">
        <f>0.7525/M101</f>
        <v>0.14278937381404175</v>
      </c>
      <c r="N105" s="2895">
        <f>0.7525/N101</f>
        <v>0.14278937381404175</v>
      </c>
    </row>
    <row r="106" spans="1:14">
      <c r="A106" s="3915"/>
      <c r="B106" s="2894">
        <v>5</v>
      </c>
      <c r="C106" s="2895">
        <f>0.8417/C101</f>
        <v>0.15971537001897534</v>
      </c>
      <c r="D106" s="2895">
        <f>0.8417/D101</f>
        <v>0.15971537001897534</v>
      </c>
      <c r="E106" s="2895">
        <f>0.7371/E101</f>
        <v>0.13986717267552182</v>
      </c>
      <c r="F106" s="2895">
        <f>0.7371/F101</f>
        <v>0.13986717267552182</v>
      </c>
      <c r="G106" s="2895">
        <f>0.7371/G101</f>
        <v>0.13986717267552182</v>
      </c>
      <c r="H106" s="2895">
        <f>0.7371/H101</f>
        <v>0.13986717267552182</v>
      </c>
      <c r="I106" s="2895">
        <f>0.7371/I101</f>
        <v>0.13986717267552182</v>
      </c>
      <c r="J106" s="2895">
        <f>0.5659/J101</f>
        <v>0.10738140417457305</v>
      </c>
      <c r="K106" s="2895">
        <f>0.5659/K101</f>
        <v>0.10738140417457305</v>
      </c>
      <c r="L106" s="2895">
        <f>0.5659/L101</f>
        <v>0.10738140417457305</v>
      </c>
      <c r="M106" s="2895">
        <f>0.5659/M101</f>
        <v>0.10738140417457305</v>
      </c>
      <c r="N106" s="2895">
        <f>0.5659/N101</f>
        <v>0.10738140417457305</v>
      </c>
    </row>
    <row r="107" spans="1:14">
      <c r="A107" s="3915"/>
      <c r="B107" s="2894">
        <v>6</v>
      </c>
      <c r="C107" s="2895">
        <f>0.7608/C101</f>
        <v>0.14436432637571159</v>
      </c>
      <c r="D107" s="2895">
        <f>0.7608/D101</f>
        <v>0.14436432637571159</v>
      </c>
      <c r="E107" s="2895">
        <f>0.6482/E101</f>
        <v>0.12299810246679317</v>
      </c>
      <c r="F107" s="2895">
        <f>0.6482/F101</f>
        <v>0.12299810246679317</v>
      </c>
      <c r="G107" s="2895">
        <f>0.6482/G101</f>
        <v>0.12299810246679317</v>
      </c>
      <c r="H107" s="2895">
        <f>0.6482/H101</f>
        <v>0.12299810246679317</v>
      </c>
      <c r="I107" s="2895">
        <f>0.6482/I101</f>
        <v>0.12299810246679317</v>
      </c>
      <c r="J107" s="2895">
        <f>0.4525/J101</f>
        <v>8.5863377609108171E-2</v>
      </c>
      <c r="K107" s="2895">
        <f>0.4525/K101</f>
        <v>8.5863377609108171E-2</v>
      </c>
      <c r="L107" s="2895">
        <f>0.4525/L101</f>
        <v>8.5863377609108171E-2</v>
      </c>
      <c r="M107" s="2895">
        <f>0.4525/M101</f>
        <v>8.5863377609108171E-2</v>
      </c>
      <c r="N107" s="2895">
        <f>0.4525/N101</f>
        <v>8.5863377609108171E-2</v>
      </c>
    </row>
    <row r="108" spans="1:14">
      <c r="A108" s="3915"/>
      <c r="B108" s="3819"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16"/>
      <c r="B109" s="3820"/>
      <c r="C109" s="2897">
        <f>(-0.163*(C108^2)-0.59*C108+7617)*(10^(-4))/C101</f>
        <v>0.1445351043643264</v>
      </c>
      <c r="D109" s="2897">
        <f>(-0.163*(D108^2)-0.59*D108+7617)*(10^(-4))/D101</f>
        <v>0.1445351043643264</v>
      </c>
      <c r="E109" s="2897">
        <f>(-0.161*(E108^2)-7.509*E108+6533)*(10^(-4))/E101</f>
        <v>0.12396584440227705</v>
      </c>
      <c r="F109" s="2897">
        <f>(-0.161*(F108^2)-7.509*F108+6533)*(10^(-4))/F101</f>
        <v>0.12396584440227705</v>
      </c>
      <c r="G109" s="2897">
        <f>(-0.161*(G108^2)-7.509*G108+6533)*(10^(-4))/G101</f>
        <v>0.12396584440227705</v>
      </c>
      <c r="H109" s="2897">
        <f>(-0.161*(H108^2)-7.509*H108+6533)*(10^(-4))/H101</f>
        <v>0.12396584440227705</v>
      </c>
      <c r="I109" s="2897">
        <f>(-0.161*(I108^2)-7.509*I108+6533)*(10^(-4))/I101</f>
        <v>0.12396584440227705</v>
      </c>
      <c r="J109" s="2897">
        <f>(-0.214*(J108^2)-21.991*J108+4665)*(10^(-4))/J101</f>
        <v>8.8519924098671737E-2</v>
      </c>
      <c r="K109" s="2897">
        <f>(-0.214*(K108^2)-21.991*K108+4665)*(10^(-4))/K101</f>
        <v>8.8519924098671737E-2</v>
      </c>
      <c r="L109" s="2897">
        <f>(-0.214*(L108^2)-21.991*L108+4665)*(10^(-4))/L101</f>
        <v>8.8519924098671737E-2</v>
      </c>
      <c r="M109" s="2897">
        <f>(-0.214*(M108^2)-21.991*M108+4665)*(10^(-4))/M101</f>
        <v>8.8519924098671737E-2</v>
      </c>
      <c r="N109" s="2897">
        <f>(-0.214*(N108^2)-21.991*N108+4665)*(10^(-4))/N101</f>
        <v>8.8519924098671737E-2</v>
      </c>
    </row>
    <row r="110" spans="1:14">
      <c r="A110" s="3912" t="s">
        <v>2980</v>
      </c>
      <c r="B110" s="3912"/>
      <c r="C110" s="3912"/>
      <c r="D110" s="3912"/>
      <c r="E110" s="3912"/>
      <c r="F110" s="3912"/>
      <c r="G110" s="3912"/>
      <c r="H110" s="3912"/>
      <c r="I110" s="3912"/>
      <c r="J110" s="3912"/>
      <c r="K110" s="2900"/>
      <c r="L110" s="2900"/>
      <c r="M110" s="2900"/>
      <c r="N110" s="2900"/>
    </row>
    <row r="112" spans="1:14" ht="13.5" thickBot="1"/>
    <row r="113" spans="1:13" ht="25.5" thickBot="1">
      <c r="A113" s="899" t="s">
        <v>2981</v>
      </c>
      <c r="B113" s="1286">
        <f>G3</f>
        <v>5.27</v>
      </c>
      <c r="C113" s="900" t="s">
        <v>2982</v>
      </c>
      <c r="D113" s="901">
        <f>SUMPRODUCT((A115:A118=F113)*(B114:M114=H113)*B115:M118)</f>
        <v>0.78820000000000001</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0.88400000000000001</v>
      </c>
      <c r="C115" s="906">
        <f>B115</f>
        <v>0.88400000000000001</v>
      </c>
      <c r="D115" s="906">
        <f>ROUND(0.8331-0.0109*B113,4)</f>
        <v>0.77569999999999995</v>
      </c>
      <c r="E115" s="906">
        <f>D115</f>
        <v>0.77569999999999995</v>
      </c>
      <c r="F115" s="906">
        <f>E115</f>
        <v>0.77569999999999995</v>
      </c>
      <c r="G115" s="906">
        <f>F115</f>
        <v>0.77569999999999995</v>
      </c>
      <c r="H115" s="906">
        <f>G115</f>
        <v>0.77569999999999995</v>
      </c>
      <c r="I115" s="906">
        <f>ROUND(0.689-0.0155*B113,4)</f>
        <v>0.60729999999999995</v>
      </c>
      <c r="J115" s="906">
        <f t="shared" ref="J115:M118" si="33">I115</f>
        <v>0.60729999999999995</v>
      </c>
      <c r="K115" s="906">
        <f t="shared" si="33"/>
        <v>0.60729999999999995</v>
      </c>
      <c r="L115" s="906">
        <f t="shared" si="33"/>
        <v>0.60729999999999995</v>
      </c>
      <c r="M115" s="907">
        <f t="shared" si="33"/>
        <v>0.60729999999999995</v>
      </c>
    </row>
    <row r="116" spans="1:13">
      <c r="A116" s="905" t="s">
        <v>2880</v>
      </c>
      <c r="B116" s="906">
        <f>ROUND(0.949-0.012*B113,4)</f>
        <v>0.88580000000000003</v>
      </c>
      <c r="C116" s="906">
        <f>B116</f>
        <v>0.88580000000000003</v>
      </c>
      <c r="D116" s="906">
        <f>ROUND(0.8567-0.013*B113,4)</f>
        <v>0.78820000000000001</v>
      </c>
      <c r="E116" s="906">
        <f t="shared" ref="E116:H117" si="34">D116</f>
        <v>0.78820000000000001</v>
      </c>
      <c r="F116" s="906">
        <f t="shared" si="34"/>
        <v>0.78820000000000001</v>
      </c>
      <c r="G116" s="906">
        <f t="shared" si="34"/>
        <v>0.78820000000000001</v>
      </c>
      <c r="H116" s="906">
        <f t="shared" si="34"/>
        <v>0.78820000000000001</v>
      </c>
      <c r="I116" s="906">
        <f>ROUND(0.7694-0.014*B113,4)</f>
        <v>0.6956</v>
      </c>
      <c r="J116" s="906">
        <f t="shared" si="33"/>
        <v>0.6956</v>
      </c>
      <c r="K116" s="906">
        <f t="shared" si="33"/>
        <v>0.6956</v>
      </c>
      <c r="L116" s="906">
        <f t="shared" si="33"/>
        <v>0.6956</v>
      </c>
      <c r="M116" s="907">
        <f t="shared" si="33"/>
        <v>0.6956</v>
      </c>
    </row>
    <row r="117" spans="1:13">
      <c r="A117" s="905" t="s">
        <v>2881</v>
      </c>
      <c r="B117" s="906">
        <f>ROUND(0.8808-0.006*B113,4)</f>
        <v>0.84919999999999995</v>
      </c>
      <c r="C117" s="906">
        <f>B117</f>
        <v>0.84919999999999995</v>
      </c>
      <c r="D117" s="906">
        <f>ROUND(0.8748-0.008*B113,4)</f>
        <v>0.83260000000000001</v>
      </c>
      <c r="E117" s="906">
        <f t="shared" si="34"/>
        <v>0.83260000000000001</v>
      </c>
      <c r="F117" s="906">
        <f t="shared" si="34"/>
        <v>0.83260000000000001</v>
      </c>
      <c r="G117" s="906">
        <f t="shared" si="34"/>
        <v>0.83260000000000001</v>
      </c>
      <c r="H117" s="906">
        <f t="shared" si="34"/>
        <v>0.83260000000000001</v>
      </c>
      <c r="I117" s="906">
        <f>ROUND(0.7412-0.0095*B113,4)</f>
        <v>0.69110000000000005</v>
      </c>
      <c r="J117" s="906">
        <f t="shared" si="33"/>
        <v>0.69110000000000005</v>
      </c>
      <c r="K117" s="906">
        <f t="shared" si="33"/>
        <v>0.69110000000000005</v>
      </c>
      <c r="L117" s="906">
        <f t="shared" si="33"/>
        <v>0.69110000000000005</v>
      </c>
      <c r="M117" s="907">
        <f t="shared" si="33"/>
        <v>0.69110000000000005</v>
      </c>
    </row>
    <row r="118" spans="1:13" ht="13.5" thickBot="1">
      <c r="A118" s="714" t="s">
        <v>2882</v>
      </c>
      <c r="B118" s="908">
        <f>ROUND(0.7275-0.01*B113,4)</f>
        <v>0.67479999999999996</v>
      </c>
      <c r="C118" s="908">
        <f>B118</f>
        <v>0.67479999999999996</v>
      </c>
      <c r="D118" s="908">
        <f>ROUND(0.7043-0.012*B113,4)</f>
        <v>0.6411</v>
      </c>
      <c r="E118" s="908">
        <f>D118</f>
        <v>0.6411</v>
      </c>
      <c r="F118" s="908">
        <f>E118</f>
        <v>0.6411</v>
      </c>
      <c r="G118" s="908">
        <f>ROUND(0.6299-0.0122*B113,4)</f>
        <v>0.56559999999999999</v>
      </c>
      <c r="H118" s="908">
        <f>G118</f>
        <v>0.56559999999999999</v>
      </c>
      <c r="I118" s="908">
        <f>ROUND(0.5667-0.0136*B113,4)</f>
        <v>0.495</v>
      </c>
      <c r="J118" s="908">
        <f t="shared" si="33"/>
        <v>0.495</v>
      </c>
      <c r="K118" s="908">
        <f t="shared" si="33"/>
        <v>0.495</v>
      </c>
      <c r="L118" s="908">
        <f t="shared" si="33"/>
        <v>0.495</v>
      </c>
      <c r="M118" s="909">
        <f t="shared" si="33"/>
        <v>0.495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1" sqref="G21"/>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7</v>
      </c>
    </row>
    <row r="2" spans="1:33" ht="18" customHeight="1">
      <c r="A2" s="245" t="s">
        <v>2331</v>
      </c>
      <c r="B2" s="248" t="e">
        <f ca="1">C32</f>
        <v>#N/A</v>
      </c>
      <c r="C2" s="320" t="s">
        <v>2464</v>
      </c>
      <c r="D2" s="320"/>
      <c r="E2" s="320"/>
      <c r="F2" s="320"/>
      <c r="G2" s="320"/>
      <c r="H2" s="320"/>
      <c r="I2" s="320"/>
      <c r="J2" s="320"/>
      <c r="K2" s="320"/>
    </row>
    <row r="3" spans="1:33" ht="18" customHeight="1" thickBot="1">
      <c r="A3" s="247" t="s">
        <v>2333</v>
      </c>
      <c r="B3" s="248" t="e">
        <f ca="1">ROUND(B2*10000/IF(C1="",'数据-汇总表'!E3,INDIRECT("'数据-取费表'!K"&amp;$K$1)),0)</f>
        <v>#N/A</v>
      </c>
      <c r="C3" s="320" t="s">
        <v>2465</v>
      </c>
      <c r="D3" s="320"/>
      <c r="E3" s="320"/>
      <c r="F3" s="320"/>
      <c r="G3" s="320"/>
      <c r="H3" s="320"/>
      <c r="I3" s="320"/>
      <c r="J3" s="320"/>
      <c r="K3" s="320"/>
    </row>
    <row r="4" spans="1:33" s="955" customFormat="1" ht="16.5" customHeight="1">
      <c r="A4" s="952" t="s">
        <v>2466</v>
      </c>
      <c r="B4" s="953"/>
      <c r="C4" s="995" t="e">
        <f ca="1">SUM(C8:K8)</f>
        <v>#N/A</v>
      </c>
      <c r="D4" s="953"/>
      <c r="E4" s="953"/>
      <c r="F4" s="953"/>
      <c r="G4" s="953"/>
      <c r="H4" s="953"/>
      <c r="I4" s="953"/>
      <c r="J4" s="953"/>
      <c r="K4" s="954"/>
    </row>
    <row r="5" spans="1:33" s="959" customFormat="1" ht="15">
      <c r="A5" s="956" t="s">
        <v>2467</v>
      </c>
      <c r="B5" s="957" t="s">
        <v>2468</v>
      </c>
      <c r="C5" s="2553" t="s">
        <v>27</v>
      </c>
      <c r="D5" s="2553" t="s">
        <v>1378</v>
      </c>
      <c r="E5" s="2553" t="s">
        <v>3661</v>
      </c>
      <c r="F5" s="2553" t="s">
        <v>3662</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0</v>
      </c>
      <c r="D6" s="961">
        <f>面积表!V7</f>
        <v>34470.33483454083</v>
      </c>
      <c r="E6" s="961">
        <f ca="1">收益法仓储!B3</f>
        <v>0</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t="e">
        <f ca="1">收益法办公!B2</f>
        <v>#N/A</v>
      </c>
      <c r="D8" s="996">
        <f>面积表!U7</f>
        <v>30807</v>
      </c>
      <c r="E8" s="996" t="e">
        <f ca="1">收益法仓储!B2</f>
        <v>#N/A</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4</v>
      </c>
      <c r="D14" s="1032">
        <f ca="1">IF(C1="",'数据-汇总表'!E3,INDIRECT("'数据-取费表'!K"&amp;$K$1)+INDIRECT("'数据-取费表'!S"&amp;$K$1))</f>
        <v>11000.49</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50</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11000.49</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-200</v>
      </c>
      <c r="D18" s="1032"/>
      <c r="E18" s="24"/>
      <c r="F18" s="975"/>
      <c r="G18" s="2555" t="s">
        <v>3674</v>
      </c>
      <c r="H18" s="1577"/>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200</v>
      </c>
      <c r="F19" s="975"/>
      <c r="G19" s="15"/>
      <c r="H19" s="1579"/>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11000.49</v>
      </c>
      <c r="E20" s="24">
        <f>'数据-取费表'!B28</f>
        <v>0</v>
      </c>
      <c r="F20" s="975"/>
      <c r="G20" s="15"/>
      <c r="H20" s="980"/>
      <c r="I20" s="980"/>
      <c r="J20" s="980"/>
      <c r="K20" s="981"/>
    </row>
    <row r="21" spans="1:33" s="974" customFormat="1" ht="13.5" customHeight="1">
      <c r="A21" s="960" t="s">
        <v>802</v>
      </c>
      <c r="B21" s="984" t="s">
        <v>2497</v>
      </c>
      <c r="C21" s="985">
        <f ca="1">C16+C17+C18</f>
        <v>-150</v>
      </c>
      <c r="D21" s="986"/>
      <c r="E21" s="325"/>
      <c r="F21" s="325"/>
      <c r="G21" s="140" t="s">
        <v>2498</v>
      </c>
      <c r="H21" s="978"/>
      <c r="I21" s="978"/>
      <c r="J21" s="978"/>
      <c r="K21" s="979"/>
    </row>
    <row r="22" spans="1:33" s="974" customFormat="1" ht="13.5" customHeight="1">
      <c r="A22" s="960" t="s">
        <v>2470</v>
      </c>
      <c r="B22" s="984" t="s">
        <v>2499</v>
      </c>
      <c r="C22" s="985">
        <f ca="1">ROUND(C21*F22,0)</f>
        <v>-5</v>
      </c>
      <c r="D22" s="325"/>
      <c r="E22" s="325"/>
      <c r="F22" s="987">
        <f>'数据-取费表'!B37</f>
        <v>0.03</v>
      </c>
      <c r="G22" s="8" t="s">
        <v>2500</v>
      </c>
      <c r="H22" s="967"/>
      <c r="I22" s="967"/>
      <c r="J22" s="967"/>
      <c r="K22" s="968"/>
    </row>
    <row r="23" spans="1:33" s="974" customFormat="1" ht="13.5" customHeight="1">
      <c r="A23" s="960" t="s">
        <v>2472</v>
      </c>
      <c r="B23" s="984" t="s">
        <v>2501</v>
      </c>
      <c r="C23" s="985" t="e">
        <f ca="1">ROUND(C4*F23*F11,0)</f>
        <v>#N/A</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t="e">
        <f ca="1">C27</f>
        <v>#N/A</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9.5999999999999992E-3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t="e">
        <f ca="1">ROUND(IF('数据-取费表'!B22&lt;=1,(C21+C22+C23)*F25*'数据-取费表'!B24/2,(C21+C22+C23)*(POWER((1+F25),'数据-取费表'!B24/2)-1)),0)</f>
        <v>#N/A</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t="e">
        <f ca="1">C30</f>
        <v>#N/A</v>
      </c>
      <c r="D28" s="324">
        <f ca="1">C29</f>
        <v>1E-3</v>
      </c>
      <c r="E28" s="326" t="s">
        <v>15</v>
      </c>
      <c r="F28" s="332">
        <f ca="1">IF(C1="",'数据-取费表'!Q16,INDIRECT("'数据-取费表'!q"&amp;$K$1))</f>
        <v>0.01</v>
      </c>
      <c r="G28" s="988"/>
      <c r="H28" s="989"/>
      <c r="I28" s="989"/>
      <c r="J28" s="989"/>
      <c r="K28" s="990"/>
    </row>
    <row r="29" spans="1:33" s="335" customFormat="1" ht="13.5" customHeight="1">
      <c r="A29" s="970" t="s">
        <v>803</v>
      </c>
      <c r="B29" s="993" t="s">
        <v>2512</v>
      </c>
      <c r="C29" s="328">
        <f ca="1">ROUND((1+C24)*F28*'数据-取费表'!B24/'数据-取费表'!B20,4)</f>
        <v>1E-3</v>
      </c>
      <c r="D29" s="328"/>
      <c r="E29" s="329"/>
      <c r="F29" s="334"/>
      <c r="G29" s="140" t="s">
        <v>2513</v>
      </c>
      <c r="H29" s="978"/>
      <c r="I29" s="978"/>
      <c r="J29" s="978"/>
      <c r="K29" s="979"/>
    </row>
    <row r="30" spans="1:33" s="335" customFormat="1" ht="13.5" customHeight="1">
      <c r="A30" s="970" t="s">
        <v>804</v>
      </c>
      <c r="B30" s="993" t="s">
        <v>2514</v>
      </c>
      <c r="C30" s="336" t="e">
        <f ca="1">ROUND((C21+C22+C23)*F28,0)</f>
        <v>#N/A</v>
      </c>
      <c r="D30" s="328"/>
      <c r="E30" s="329"/>
      <c r="F30" s="334"/>
      <c r="G30" s="140"/>
      <c r="H30" s="978"/>
      <c r="I30" s="978"/>
      <c r="J30" s="978"/>
      <c r="K30" s="979"/>
    </row>
    <row r="31" spans="1:33" s="974" customFormat="1" ht="13.5" customHeight="1" thickBot="1">
      <c r="A31" s="2559" t="s">
        <v>2515</v>
      </c>
      <c r="B31" s="1004" t="s">
        <v>2516</v>
      </c>
      <c r="C31" s="1005" t="e">
        <f ca="1">ROUND(C4*F31/(1+'数据-取费表'!C42),0)</f>
        <v>#N/A</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t="e">
        <f ca="1">ROUND((C4-C21-C22-C23-C25-C28-C31)/(1+C24+D25+D28),0)</f>
        <v>#N/A</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30"/>
      <c r="B4" s="3931"/>
      <c r="C4" s="3931"/>
      <c r="D4" s="3932"/>
      <c r="E4" s="3932"/>
      <c r="F4" s="3932"/>
      <c r="G4" s="3932"/>
      <c r="H4" s="3932"/>
      <c r="I4" s="3932"/>
      <c r="J4" s="3933"/>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21"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22"/>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34" t="s">
        <v>3083</v>
      </c>
      <c r="X8" s="3901"/>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22"/>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902"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22"/>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902"/>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22"/>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902"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21"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902"/>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35"/>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902"/>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35"/>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36"/>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21"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22"/>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23" t="s">
        <v>3245</v>
      </c>
      <c r="B90" s="3923"/>
      <c r="C90" s="3923"/>
      <c r="D90" s="3923"/>
      <c r="E90" s="3923"/>
      <c r="F90" s="3923"/>
      <c r="G90" s="3923"/>
      <c r="H90" s="3923"/>
      <c r="I90" s="3923"/>
      <c r="J90" s="3923"/>
      <c r="K90" s="3243"/>
      <c r="L90" s="3243"/>
      <c r="M90" s="3243"/>
      <c r="N90" s="3243"/>
    </row>
    <row r="91" spans="1:37">
      <c r="A91" s="3924" t="s">
        <v>3061</v>
      </c>
      <c r="B91" s="3924" t="s">
        <v>3246</v>
      </c>
      <c r="C91" s="3244" t="s">
        <v>3055</v>
      </c>
      <c r="D91" s="3245"/>
      <c r="E91" s="3245"/>
      <c r="F91" s="3245"/>
      <c r="G91" s="3245"/>
      <c r="H91" s="3245"/>
      <c r="I91" s="3245"/>
      <c r="J91" s="3246"/>
      <c r="K91" s="3247"/>
      <c r="L91" s="3247"/>
      <c r="M91" s="3247"/>
      <c r="N91" s="3247"/>
    </row>
    <row r="92" spans="1:37">
      <c r="A92" s="3924"/>
      <c r="B92" s="3924"/>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25"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26"/>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26"/>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26"/>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26"/>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26"/>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26"/>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27"/>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25"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26"/>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26"/>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26"/>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26"/>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26"/>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26"/>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26"/>
      <c r="B108" s="3928"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27"/>
      <c r="B109" s="3929"/>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20" t="s">
        <v>3250</v>
      </c>
      <c r="B110" s="3920"/>
      <c r="C110" s="3920"/>
      <c r="D110" s="3920"/>
      <c r="E110" s="3920"/>
      <c r="F110" s="3920"/>
      <c r="G110" s="3920"/>
      <c r="H110" s="3920"/>
      <c r="I110" s="3920"/>
      <c r="J110" s="3920"/>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#N/A</v>
      </c>
      <c r="C2" s="1845" t="s">
        <v>1593</v>
      </c>
      <c r="D2" s="1938" t="e">
        <f ca="1">C40+J29+L46</f>
        <v>#N/A</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92" t="s">
        <v>1404</v>
      </c>
      <c r="C6" s="1295">
        <f ca="1">ROUND(F6*F8*F7*(1-F9),0)</f>
        <v>0</v>
      </c>
      <c r="D6" s="164" t="s">
        <v>3029</v>
      </c>
      <c r="E6" s="347" t="s">
        <v>1406</v>
      </c>
      <c r="F6" s="348">
        <f ca="1">INDIRECT("'数据-取费表'!u"&amp;$G$1)</f>
        <v>0</v>
      </c>
      <c r="G6" s="1851"/>
      <c r="H6" s="1290" t="s">
        <v>1035</v>
      </c>
      <c r="I6" s="3892" t="s">
        <v>1404</v>
      </c>
      <c r="J6" s="346">
        <f ca="1">ROUND(M6*M8*M7*(1-M9),0)</f>
        <v>0</v>
      </c>
      <c r="K6" s="1834" t="s">
        <v>3032</v>
      </c>
      <c r="L6" s="347" t="s">
        <v>1406</v>
      </c>
      <c r="M6" s="348">
        <f ca="1">INDIRECT("'数据-取费表'!z"&amp;$G$1)</f>
        <v>0</v>
      </c>
    </row>
    <row r="7" spans="1:37" ht="18" customHeight="1">
      <c r="A7" s="1294"/>
      <c r="B7" s="3893"/>
      <c r="C7" s="1296"/>
      <c r="D7" s="352"/>
      <c r="E7" s="1297" t="s">
        <v>1407</v>
      </c>
      <c r="F7" s="348">
        <f ca="1">IF(INDIRECT("'数据-取费表'!ah"&amp;$G$1)="",INDIRECT("'数据-取费表'!k"&amp;$G$1),INDIRECT("'数据-取费表'!ah"&amp;$G$1))</f>
        <v>0</v>
      </c>
      <c r="G7" s="1851"/>
      <c r="H7" s="349"/>
      <c r="I7" s="3893"/>
      <c r="J7" s="351"/>
      <c r="K7" s="352"/>
      <c r="L7" s="347" t="s">
        <v>1407</v>
      </c>
      <c r="M7" s="348">
        <f ca="1">F7</f>
        <v>0</v>
      </c>
    </row>
    <row r="8" spans="1:37" ht="18" customHeight="1">
      <c r="A8" s="349"/>
      <c r="B8" s="3893"/>
      <c r="C8" s="351"/>
      <c r="D8" s="352"/>
      <c r="E8" s="347" t="s">
        <v>1408</v>
      </c>
      <c r="F8" s="348">
        <f ca="1">INDIRECT("'数据-取费表'!ai"&amp;$G$1)</f>
        <v>365</v>
      </c>
      <c r="G8" s="1851"/>
      <c r="H8" s="349"/>
      <c r="I8" s="3893"/>
      <c r="J8" s="351"/>
      <c r="K8" s="352"/>
      <c r="L8" s="347" t="s">
        <v>1408</v>
      </c>
      <c r="M8" s="348">
        <f ca="1">INDIRECT("'数据-取费表'!ai"&amp;$G$1)</f>
        <v>365</v>
      </c>
    </row>
    <row r="9" spans="1:37" ht="18" customHeight="1">
      <c r="A9" s="349"/>
      <c r="B9" s="3894"/>
      <c r="C9" s="351"/>
      <c r="D9" s="352"/>
      <c r="E9" s="347" t="s">
        <v>1409</v>
      </c>
      <c r="F9" s="357">
        <f ca="1">INDIRECT("'数据-取费表'!w"&amp;$G$1)</f>
        <v>0</v>
      </c>
      <c r="G9" s="1851"/>
      <c r="H9" s="349"/>
      <c r="I9" s="3894"/>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#N/A</v>
      </c>
      <c r="D45" s="1940" t="s">
        <v>1606</v>
      </c>
      <c r="E45" s="1866"/>
      <c r="F45" s="1866"/>
      <c r="O45" s="1869" t="s">
        <v>1521</v>
      </c>
      <c r="P45" s="1839"/>
      <c r="Q45" s="1839"/>
      <c r="R45" s="1839"/>
    </row>
    <row r="46" spans="1:18" s="1842" customFormat="1" ht="13.5" thickBot="1">
      <c r="A46" s="1870" t="s">
        <v>1522</v>
      </c>
      <c r="C46" s="1871" t="e">
        <f ca="1">ROUND(C45/10000,0)</f>
        <v>#N/A</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95" t="s">
        <v>1550</v>
      </c>
      <c r="L53" s="3896"/>
      <c r="O53" s="1884" t="s">
        <v>1046</v>
      </c>
      <c r="P53" s="1885" t="s">
        <v>1551</v>
      </c>
      <c r="Q53" s="1886" t="e">
        <f ca="1">Q47+Q48</f>
        <v>#N/A</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ROUND(C48*F66,0)</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t="e">
        <f ca="1">SUMIF(B6:B13,"&lt;&gt;#ref!",B6:B13)</f>
        <v>#N/A</v>
      </c>
      <c r="C2" s="2565" t="s">
        <v>2520</v>
      </c>
      <c r="D2" s="2566" t="s">
        <v>2521</v>
      </c>
      <c r="E2" s="2567">
        <f>SUM(E6:E13)</f>
        <v>11000.49</v>
      </c>
    </row>
    <row r="3" spans="1:6" ht="15.75">
      <c r="A3" s="2563" t="s">
        <v>1396</v>
      </c>
      <c r="B3" s="2564" t="e">
        <f ca="1">ROUND(B2*10000/E2,0)</f>
        <v>#N/A</v>
      </c>
      <c r="C3" s="2565" t="s">
        <v>2528</v>
      </c>
      <c r="D3" s="2568"/>
      <c r="E3" s="2569"/>
    </row>
    <row r="4" spans="1:6" ht="15.75">
      <c r="A4" s="2570"/>
      <c r="B4" s="2568"/>
      <c r="C4" s="2568"/>
      <c r="D4" s="2568"/>
      <c r="E4" s="2569"/>
    </row>
    <row r="5" spans="1:6" ht="15">
      <c r="A5" s="2571" t="s">
        <v>2522</v>
      </c>
      <c r="B5" s="3937" t="s">
        <v>2523</v>
      </c>
      <c r="C5" s="3937"/>
      <c r="D5" s="2572"/>
      <c r="E5" s="2573" t="s">
        <v>2524</v>
      </c>
      <c r="F5" s="2574" t="s">
        <v>2525</v>
      </c>
    </row>
    <row r="6" spans="1:6">
      <c r="A6" s="2575" t="str">
        <f>'数据-取费表'!AN6</f>
        <v>收益法办公</v>
      </c>
      <c r="B6" s="2574" t="e">
        <f ca="1">IF(F6="是",'数据-取费表'!AO6,0)</f>
        <v>#N/A</v>
      </c>
      <c r="C6" s="2565" t="s">
        <v>2520</v>
      </c>
      <c r="D6" s="2568"/>
      <c r="E6" s="2576">
        <f>IF(OR(A6=0,F6="否"),0,'数据-取费表'!K6+'数据-取费表'!S6)</f>
        <v>11000.49</v>
      </c>
      <c r="F6" s="2577" t="s">
        <v>2526</v>
      </c>
    </row>
    <row r="7" spans="1:6">
      <c r="A7" s="2575" t="str">
        <f>'数据-取费表'!AN7</f>
        <v>收益法商业</v>
      </c>
      <c r="B7" s="2574" t="e">
        <f ca="1">IF(F7="是",'数据-取费表'!AO7,0)</f>
        <v>#N/A</v>
      </c>
      <c r="C7" s="2565" t="s">
        <v>2520</v>
      </c>
      <c r="D7" s="2568"/>
      <c r="E7" s="2576">
        <f>IF(OR(A7=0,F7="否"),0,'数据-取费表'!K7+'数据-取费表'!S7)</f>
        <v>0</v>
      </c>
      <c r="F7" s="2577" t="s">
        <v>2526</v>
      </c>
    </row>
    <row r="8" spans="1:6">
      <c r="A8" s="2575" t="str">
        <f>'数据-取费表'!AN8</f>
        <v>收益法仓储</v>
      </c>
      <c r="B8" s="2574" t="e">
        <f ca="1">IF(F8="是",'数据-取费表'!AO8,0)</f>
        <v>#N/A</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54" t="s">
        <v>1076</v>
      </c>
      <c r="B1" s="3955"/>
      <c r="C1" s="3956"/>
      <c r="D1" s="3957">
        <f>SUM(I10,I15,I20,I21,I23)</f>
        <v>0</v>
      </c>
      <c r="E1" s="3957"/>
      <c r="F1" s="3957"/>
      <c r="G1" s="3957"/>
      <c r="H1" s="3957"/>
      <c r="I1" s="3958"/>
    </row>
    <row r="2" spans="1:9">
      <c r="A2" s="3944" t="s">
        <v>1077</v>
      </c>
      <c r="B2" s="3945" t="s">
        <v>1078</v>
      </c>
      <c r="C2" s="3945"/>
      <c r="D2" s="1300" t="s">
        <v>1079</v>
      </c>
      <c r="E2" s="1300" t="s">
        <v>1080</v>
      </c>
      <c r="F2" s="1300" t="s">
        <v>1081</v>
      </c>
      <c r="G2" s="1300" t="s">
        <v>1082</v>
      </c>
      <c r="H2" s="1300" t="s">
        <v>1083</v>
      </c>
      <c r="I2" s="1301" t="s">
        <v>1084</v>
      </c>
    </row>
    <row r="3" spans="1:9">
      <c r="A3" s="3944"/>
      <c r="B3" s="3945" t="s">
        <v>1085</v>
      </c>
      <c r="C3" s="3945"/>
      <c r="D3" s="1302"/>
      <c r="E3" s="1300"/>
      <c r="F3" s="1303"/>
      <c r="G3" s="1303"/>
      <c r="H3" s="1304"/>
      <c r="I3" s="1305">
        <f>ROUND(D3*E3*F3*G3*H3/10000,0)</f>
        <v>0</v>
      </c>
    </row>
    <row r="4" spans="1:9">
      <c r="A4" s="3944"/>
      <c r="B4" s="3945" t="s">
        <v>1086</v>
      </c>
      <c r="C4" s="3945"/>
      <c r="D4" s="1302"/>
      <c r="E4" s="1300"/>
      <c r="F4" s="1303"/>
      <c r="G4" s="1303"/>
      <c r="H4" s="1304"/>
      <c r="I4" s="1305">
        <f t="shared" ref="I4:I9" si="0">ROUND(D4*E4*F4*G4*H4/10000,0)</f>
        <v>0</v>
      </c>
    </row>
    <row r="5" spans="1:9">
      <c r="A5" s="3944"/>
      <c r="B5" s="3945" t="s">
        <v>1087</v>
      </c>
      <c r="C5" s="3945"/>
      <c r="D5" s="1302"/>
      <c r="E5" s="1300"/>
      <c r="F5" s="1303"/>
      <c r="G5" s="1303"/>
      <c r="H5" s="1304"/>
      <c r="I5" s="1305">
        <f t="shared" si="0"/>
        <v>0</v>
      </c>
    </row>
    <row r="6" spans="1:9">
      <c r="A6" s="3944"/>
      <c r="B6" s="3945" t="s">
        <v>1088</v>
      </c>
      <c r="C6" s="3945"/>
      <c r="D6" s="1302"/>
      <c r="E6" s="1300"/>
      <c r="F6" s="1303"/>
      <c r="G6" s="1303"/>
      <c r="H6" s="1304"/>
      <c r="I6" s="1305">
        <f t="shared" si="0"/>
        <v>0</v>
      </c>
    </row>
    <row r="7" spans="1:9">
      <c r="A7" s="3944"/>
      <c r="B7" s="3945" t="s">
        <v>1089</v>
      </c>
      <c r="C7" s="3945"/>
      <c r="D7" s="1302"/>
      <c r="E7" s="1300"/>
      <c r="F7" s="1303"/>
      <c r="G7" s="1303"/>
      <c r="H7" s="1304"/>
      <c r="I7" s="1305">
        <f t="shared" si="0"/>
        <v>0</v>
      </c>
    </row>
    <row r="8" spans="1:9">
      <c r="A8" s="3944"/>
      <c r="B8" s="3945" t="s">
        <v>1090</v>
      </c>
      <c r="C8" s="3945"/>
      <c r="D8" s="1302"/>
      <c r="E8" s="1300"/>
      <c r="F8" s="1303"/>
      <c r="G8" s="1303"/>
      <c r="H8" s="1304"/>
      <c r="I8" s="1305">
        <f t="shared" si="0"/>
        <v>0</v>
      </c>
    </row>
    <row r="9" spans="1:9">
      <c r="A9" s="3944"/>
      <c r="B9" s="3945" t="s">
        <v>1091</v>
      </c>
      <c r="C9" s="3945"/>
      <c r="D9" s="1302"/>
      <c r="E9" s="1300"/>
      <c r="F9" s="1303"/>
      <c r="G9" s="1303"/>
      <c r="H9" s="1304"/>
      <c r="I9" s="1305">
        <f t="shared" si="0"/>
        <v>0</v>
      </c>
    </row>
    <row r="10" spans="1:9">
      <c r="A10" s="3944"/>
      <c r="B10" s="3946" t="s">
        <v>1092</v>
      </c>
      <c r="C10" s="3946"/>
      <c r="D10" s="1306"/>
      <c r="E10" s="1306" t="e">
        <f>ROUND(D1*10000/D10/H9,0)</f>
        <v>#DIV/0!</v>
      </c>
      <c r="F10" s="1307"/>
      <c r="G10" s="1307"/>
      <c r="H10" s="1308"/>
      <c r="I10" s="1309">
        <f>SUM(I3:I9)</f>
        <v>0</v>
      </c>
    </row>
    <row r="11" spans="1:9" ht="14.25">
      <c r="A11" s="3944" t="s">
        <v>1093</v>
      </c>
      <c r="B11" s="3945" t="s">
        <v>1094</v>
      </c>
      <c r="C11" s="3945"/>
      <c r="D11" s="1302" t="s">
        <v>1095</v>
      </c>
      <c r="E11" s="1302" t="s">
        <v>1096</v>
      </c>
      <c r="F11" s="1303" t="s">
        <v>1097</v>
      </c>
      <c r="G11" s="1303" t="s">
        <v>1083</v>
      </c>
      <c r="H11" s="1310" t="s">
        <v>1098</v>
      </c>
      <c r="I11" s="1301" t="s">
        <v>1084</v>
      </c>
    </row>
    <row r="12" spans="1:9">
      <c r="A12" s="3944"/>
      <c r="B12" s="3945" t="s">
        <v>1099</v>
      </c>
      <c r="C12" s="3945"/>
      <c r="D12" s="1302"/>
      <c r="E12" s="1302"/>
      <c r="F12" s="1303"/>
      <c r="G12" s="1304"/>
      <c r="H12" s="1311"/>
      <c r="I12" s="1301">
        <f>ROUND(D12*E12*F12*G12/10000,0)</f>
        <v>0</v>
      </c>
    </row>
    <row r="13" spans="1:9">
      <c r="A13" s="3944"/>
      <c r="B13" s="3945" t="s">
        <v>1100</v>
      </c>
      <c r="C13" s="3945"/>
      <c r="D13" s="1302"/>
      <c r="E13" s="1302"/>
      <c r="F13" s="1303"/>
      <c r="G13" s="1304"/>
      <c r="H13" s="1311"/>
      <c r="I13" s="1301">
        <f>ROUND(D13*E13*F13*G13/10000,0)</f>
        <v>0</v>
      </c>
    </row>
    <row r="14" spans="1:9">
      <c r="A14" s="3944"/>
      <c r="B14" s="3945" t="s">
        <v>1101</v>
      </c>
      <c r="C14" s="3945"/>
      <c r="D14" s="1302"/>
      <c r="E14" s="1302"/>
      <c r="F14" s="1303"/>
      <c r="G14" s="1304"/>
      <c r="H14" s="1311"/>
      <c r="I14" s="1301">
        <f>ROUND(D14*E14*F14*G14/10000,0)</f>
        <v>0</v>
      </c>
    </row>
    <row r="15" spans="1:9">
      <c r="A15" s="3944"/>
      <c r="B15" s="3946" t="s">
        <v>1092</v>
      </c>
      <c r="C15" s="3946"/>
      <c r="D15" s="1306"/>
      <c r="E15" s="1306">
        <f>SUM(E12:E14)</f>
        <v>0</v>
      </c>
      <c r="F15" s="1307"/>
      <c r="G15" s="1304"/>
      <c r="H15" s="1311"/>
      <c r="I15" s="1312">
        <f>SUM(I12:I14)</f>
        <v>0</v>
      </c>
    </row>
    <row r="16" spans="1:9" ht="24">
      <c r="A16" s="3944" t="s">
        <v>1102</v>
      </c>
      <c r="B16" s="3945" t="s">
        <v>1103</v>
      </c>
      <c r="C16" s="3945"/>
      <c r="D16" s="1302" t="s">
        <v>1079</v>
      </c>
      <c r="E16" s="1313" t="s">
        <v>1104</v>
      </c>
      <c r="F16" s="1303" t="s">
        <v>1105</v>
      </c>
      <c r="G16" s="1304" t="s">
        <v>1083</v>
      </c>
      <c r="H16" s="1310" t="s">
        <v>1098</v>
      </c>
      <c r="I16" s="1301" t="s">
        <v>1084</v>
      </c>
    </row>
    <row r="17" spans="1:9" ht="14.25">
      <c r="A17" s="3944"/>
      <c r="B17" s="3945" t="s">
        <v>1106</v>
      </c>
      <c r="C17" s="3945"/>
      <c r="D17" s="1302"/>
      <c r="E17" s="1302"/>
      <c r="F17" s="1303"/>
      <c r="G17" s="1304"/>
      <c r="H17" s="1314"/>
      <c r="I17" s="1315">
        <f>ROUND(D17*E17*F17*G17/10000,0)</f>
        <v>0</v>
      </c>
    </row>
    <row r="18" spans="1:9" ht="14.25">
      <c r="A18" s="3944"/>
      <c r="B18" s="3945" t="s">
        <v>1107</v>
      </c>
      <c r="C18" s="3945"/>
      <c r="D18" s="1302"/>
      <c r="E18" s="1302"/>
      <c r="F18" s="1303"/>
      <c r="G18" s="1304"/>
      <c r="H18" s="1314"/>
      <c r="I18" s="1315">
        <f>ROUND(D18*E18*F18*G18/10000,0)</f>
        <v>0</v>
      </c>
    </row>
    <row r="19" spans="1:9" ht="14.25">
      <c r="A19" s="3944"/>
      <c r="B19" s="3945" t="s">
        <v>1108</v>
      </c>
      <c r="C19" s="3945"/>
      <c r="D19" s="1302"/>
      <c r="E19" s="1302"/>
      <c r="F19" s="1303"/>
      <c r="G19" s="1304"/>
      <c r="H19" s="1314"/>
      <c r="I19" s="1315">
        <f>ROUND(D19*E19*F19*G19/10000,0)</f>
        <v>0</v>
      </c>
    </row>
    <row r="20" spans="1:9">
      <c r="A20" s="3944"/>
      <c r="B20" s="3946" t="s">
        <v>1092</v>
      </c>
      <c r="C20" s="3946"/>
      <c r="D20" s="1306">
        <f>SUM(D17:D19)</f>
        <v>0</v>
      </c>
      <c r="E20" s="1306"/>
      <c r="F20" s="1307"/>
      <c r="G20" s="1304"/>
      <c r="H20" s="1311"/>
      <c r="I20" s="1312">
        <f>SUM(I17:I19)</f>
        <v>0</v>
      </c>
    </row>
    <row r="21" spans="1:9">
      <c r="A21" s="3944" t="s">
        <v>1109</v>
      </c>
      <c r="B21" s="3947"/>
      <c r="C21" s="3947"/>
      <c r="D21" s="3947"/>
      <c r="E21" s="3947"/>
      <c r="F21" s="3947"/>
      <c r="G21" s="3947"/>
      <c r="H21" s="1765">
        <v>0.1</v>
      </c>
      <c r="I21" s="1309">
        <f>ROUND(I10*H21,0)</f>
        <v>0</v>
      </c>
    </row>
    <row r="22" spans="1:9" ht="14.25">
      <c r="A22" s="3948" t="s">
        <v>1110</v>
      </c>
      <c r="B22" s="3949"/>
      <c r="C22" s="3950"/>
      <c r="D22" s="1316" t="s">
        <v>1111</v>
      </c>
      <c r="E22" s="1316" t="s">
        <v>1112</v>
      </c>
      <c r="F22" s="1317" t="s">
        <v>1113</v>
      </c>
      <c r="G22" s="1317" t="s">
        <v>1114</v>
      </c>
      <c r="H22" s="1310" t="s">
        <v>1115</v>
      </c>
      <c r="I22" s="1301" t="s">
        <v>1116</v>
      </c>
    </row>
    <row r="23" spans="1:9" ht="14.25" thickBot="1">
      <c r="A23" s="3951"/>
      <c r="B23" s="3952"/>
      <c r="C23" s="3953"/>
      <c r="D23" s="1318"/>
      <c r="E23" s="1318"/>
      <c r="F23" s="1318"/>
      <c r="G23" s="1319"/>
      <c r="H23" s="1320"/>
      <c r="I23" s="1321">
        <f>ROUND(E23*D23*F23*(1-G23)/10000,0)</f>
        <v>0</v>
      </c>
    </row>
    <row r="26" spans="1:9">
      <c r="A26" s="1322" t="s">
        <v>1117</v>
      </c>
      <c r="B26" s="1322"/>
      <c r="C26" s="1322"/>
      <c r="D26" s="1322"/>
      <c r="E26" s="3941">
        <f>C27-C30-C31-C32</f>
        <v>0</v>
      </c>
      <c r="F26" s="3941"/>
      <c r="G26" s="3941"/>
      <c r="H26" s="1737" t="s">
        <v>1341</v>
      </c>
    </row>
    <row r="27" spans="1:9">
      <c r="A27" s="1323">
        <v>1</v>
      </c>
      <c r="B27" s="1324" t="s">
        <v>1118</v>
      </c>
      <c r="C27" s="1324">
        <f>C28+C29</f>
        <v>0</v>
      </c>
      <c r="D27" s="1324"/>
      <c r="E27" s="3942"/>
      <c r="F27" s="3942"/>
      <c r="G27" s="3942"/>
    </row>
    <row r="28" spans="1:9">
      <c r="A28" s="1325" t="s">
        <v>1119</v>
      </c>
      <c r="B28" s="1324" t="s">
        <v>1120</v>
      </c>
      <c r="C28" s="1324"/>
      <c r="D28" s="1324"/>
      <c r="E28" s="3942"/>
      <c r="F28" s="3942"/>
      <c r="G28" s="3942"/>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43"/>
      <c r="F32" s="3943"/>
      <c r="G32" s="3943"/>
    </row>
    <row r="33" spans="1:7" hidden="1">
      <c r="A33" s="3938" t="s">
        <v>1129</v>
      </c>
      <c r="B33" s="3939"/>
      <c r="C33" s="3939"/>
      <c r="D33" s="3940"/>
      <c r="E33" s="3941"/>
      <c r="F33" s="3941"/>
      <c r="G33" s="3941"/>
    </row>
    <row r="34" spans="1:7" hidden="1">
      <c r="A34" s="1327">
        <v>1</v>
      </c>
      <c r="B34" s="1324" t="s">
        <v>1130</v>
      </c>
      <c r="C34" s="1324"/>
      <c r="D34" s="1324"/>
      <c r="E34" s="3942"/>
      <c r="F34" s="3942"/>
      <c r="G34" s="3942"/>
    </row>
    <row r="35" spans="1:7" hidden="1">
      <c r="A35" s="1327">
        <v>2</v>
      </c>
      <c r="B35" s="1324" t="s">
        <v>1131</v>
      </c>
      <c r="C35" s="1324"/>
      <c r="D35" s="1324"/>
      <c r="E35" s="3942"/>
      <c r="F35" s="3942"/>
      <c r="G35" s="3942"/>
    </row>
    <row r="36" spans="1:7" hidden="1">
      <c r="A36" s="1327">
        <v>3</v>
      </c>
      <c r="B36" s="1324" t="s">
        <v>1132</v>
      </c>
      <c r="C36" s="1324"/>
      <c r="D36" s="1324"/>
      <c r="E36" s="3942"/>
      <c r="F36" s="3942"/>
      <c r="G36" s="3942"/>
    </row>
    <row r="37" spans="1:7" hidden="1">
      <c r="A37" s="1327">
        <v>4</v>
      </c>
      <c r="B37" s="1324" t="s">
        <v>1133</v>
      </c>
      <c r="C37" s="1324"/>
      <c r="D37" s="1324"/>
      <c r="E37" s="3942"/>
      <c r="F37" s="3942"/>
      <c r="G37" s="3942"/>
    </row>
    <row r="38" spans="1:7" hidden="1">
      <c r="A38" s="3938" t="s">
        <v>1134</v>
      </c>
      <c r="B38" s="3939"/>
      <c r="C38" s="3939"/>
      <c r="D38" s="3940"/>
      <c r="E38" s="3941"/>
      <c r="F38" s="3941"/>
      <c r="G38" s="39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G21" sqref="G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3687</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0</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56894</v>
      </c>
      <c r="C3" s="400" t="s">
        <v>2645</v>
      </c>
      <c r="D3" s="399">
        <f>IF(D1="",'数据-汇总表'!E3,SUMIF('数据-汇总表'!$C19:$C33,D1,'数据-汇总表'!$E19:$E33))</f>
        <v>0</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64" t="s">
        <v>2647</v>
      </c>
      <c r="D4" s="3865"/>
      <c r="E4" s="3866" t="s">
        <v>2648</v>
      </c>
      <c r="F4" s="3867"/>
      <c r="G4" s="3864" t="s">
        <v>2649</v>
      </c>
      <c r="H4" s="3865"/>
      <c r="I4" s="3864" t="s">
        <v>2650</v>
      </c>
      <c r="J4" s="3865"/>
      <c r="K4" s="610" t="s">
        <v>2651</v>
      </c>
      <c r="L4" s="1129"/>
      <c r="M4" s="1130"/>
      <c r="N4" s="1130"/>
      <c r="O4" s="1130"/>
      <c r="P4" s="3868" t="s">
        <v>2652</v>
      </c>
      <c r="Q4" s="3869"/>
      <c r="R4" s="3874" t="s">
        <v>2648</v>
      </c>
      <c r="S4" s="3875"/>
      <c r="T4" s="3874" t="s">
        <v>2649</v>
      </c>
      <c r="U4" s="3875"/>
      <c r="V4" s="3880" t="s">
        <v>2650</v>
      </c>
      <c r="W4" s="3880"/>
      <c r="X4" s="1813"/>
      <c r="Y4" s="3874" t="s">
        <v>2652</v>
      </c>
      <c r="Z4" s="3875"/>
      <c r="AA4" s="3861" t="s">
        <v>2648</v>
      </c>
      <c r="AB4" s="3880" t="s">
        <v>2649</v>
      </c>
      <c r="AC4" s="3861" t="s">
        <v>2650</v>
      </c>
    </row>
    <row r="5" spans="1:29" ht="15">
      <c r="A5" s="404"/>
      <c r="B5" s="405"/>
      <c r="C5" s="3883" t="s">
        <v>2543</v>
      </c>
      <c r="D5" s="3884"/>
      <c r="E5" s="3960" t="s">
        <v>3806</v>
      </c>
      <c r="F5" s="3891"/>
      <c r="G5" s="3959" t="s">
        <v>3700</v>
      </c>
      <c r="H5" s="3884"/>
      <c r="I5" s="3959" t="s">
        <v>3807</v>
      </c>
      <c r="J5" s="3884"/>
      <c r="K5" s="610"/>
      <c r="L5" s="1129"/>
      <c r="M5" s="1130"/>
      <c r="N5" s="1130"/>
      <c r="O5" s="1130"/>
      <c r="P5" s="3870"/>
      <c r="Q5" s="3871"/>
      <c r="R5" s="3876"/>
      <c r="S5" s="3877"/>
      <c r="T5" s="3876"/>
      <c r="U5" s="3877"/>
      <c r="V5" s="3880"/>
      <c r="W5" s="3880"/>
      <c r="X5" s="1813"/>
      <c r="Y5" s="3876"/>
      <c r="Z5" s="3877"/>
      <c r="AA5" s="3862"/>
      <c r="AB5" s="3880"/>
      <c r="AC5" s="3862"/>
    </row>
    <row r="6" spans="1:29" ht="15.75" thickBot="1">
      <c r="A6" s="406"/>
      <c r="B6" s="407"/>
      <c r="C6" s="3881" t="s">
        <v>2547</v>
      </c>
      <c r="D6" s="3882"/>
      <c r="E6" s="3888" t="s">
        <v>2547</v>
      </c>
      <c r="F6" s="3889"/>
      <c r="G6" s="3881" t="s">
        <v>2547</v>
      </c>
      <c r="H6" s="3882"/>
      <c r="I6" s="3881" t="s">
        <v>2547</v>
      </c>
      <c r="J6" s="3882"/>
      <c r="K6" s="610" t="s">
        <v>2548</v>
      </c>
      <c r="L6" s="1129"/>
      <c r="M6" s="1130"/>
      <c r="N6" s="1130"/>
      <c r="O6" s="1130"/>
      <c r="P6" s="3872"/>
      <c r="Q6" s="3873"/>
      <c r="R6" s="3876"/>
      <c r="S6" s="3877"/>
      <c r="T6" s="3878"/>
      <c r="U6" s="3879"/>
      <c r="V6" s="3880"/>
      <c r="W6" s="3880"/>
      <c r="X6" s="1813"/>
      <c r="Y6" s="3878"/>
      <c r="Z6" s="3879"/>
      <c r="AA6" s="3863"/>
      <c r="AB6" s="3880"/>
      <c r="AC6" s="3863"/>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85" t="s">
        <v>2550</v>
      </c>
      <c r="Q7" s="3887"/>
      <c r="R7" s="770" t="s">
        <v>17</v>
      </c>
      <c r="S7" s="771">
        <f t="shared" ref="S7:S15" si="0">F7</f>
        <v>100</v>
      </c>
      <c r="T7" s="770" t="s">
        <v>17</v>
      </c>
      <c r="U7" s="771">
        <f t="shared" ref="U7:U15" si="1">H7</f>
        <v>100</v>
      </c>
      <c r="V7" s="770" t="s">
        <v>17</v>
      </c>
      <c r="W7" s="771">
        <f t="shared" ref="W7:W15" si="2">J7</f>
        <v>100</v>
      </c>
      <c r="X7" s="772"/>
      <c r="Y7" s="3885" t="s">
        <v>2550</v>
      </c>
      <c r="Z7" s="3886"/>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85" t="s">
        <v>2553</v>
      </c>
      <c r="Q8" s="3886"/>
      <c r="R8" s="770" t="s">
        <v>17</v>
      </c>
      <c r="S8" s="771">
        <f t="shared" si="0"/>
        <v>100</v>
      </c>
      <c r="T8" s="770" t="s">
        <v>17</v>
      </c>
      <c r="U8" s="771">
        <f t="shared" si="1"/>
        <v>100</v>
      </c>
      <c r="V8" s="770" t="s">
        <v>17</v>
      </c>
      <c r="W8" s="771">
        <f t="shared" si="2"/>
        <v>100</v>
      </c>
      <c r="X8" s="772"/>
      <c r="Y8" s="3885" t="s">
        <v>2553</v>
      </c>
      <c r="Z8" s="3886"/>
      <c r="AA8" s="773">
        <f t="shared" ref="AA8:AA46" si="3">D8/F8</f>
        <v>1</v>
      </c>
      <c r="AB8" s="773">
        <f t="shared" ref="AB8:AB46" si="4">D8/H8</f>
        <v>1</v>
      </c>
      <c r="AC8" s="773">
        <f t="shared" ref="AC8:AC46" si="5">D8/J8</f>
        <v>1</v>
      </c>
    </row>
    <row r="9" spans="1:29" s="117" customFormat="1">
      <c r="A9" s="415" t="s">
        <v>2554</v>
      </c>
      <c r="B9" s="71" t="s">
        <v>2555</v>
      </c>
      <c r="C9" s="3580" t="s">
        <v>3769</v>
      </c>
      <c r="D9" s="135">
        <v>100</v>
      </c>
      <c r="E9" s="3581" t="s">
        <v>3770</v>
      </c>
      <c r="F9" s="418">
        <f>SUMIF(63:63,E9,64:64)-SUMIF(63:63,C9,64:64)+100</f>
        <v>100</v>
      </c>
      <c r="G9" s="3581" t="s">
        <v>3770</v>
      </c>
      <c r="H9" s="135">
        <f>SUMIF(63:63,G9,64:64)-SUMIF(63:63,C9,64:64)+100</f>
        <v>100</v>
      </c>
      <c r="I9" s="3581" t="s">
        <v>3769</v>
      </c>
      <c r="J9" s="135">
        <f>SUMIF(63:63,I9,64:64)-SUMIF(63:63,C9,64:64)+100</f>
        <v>100</v>
      </c>
      <c r="K9" s="611"/>
      <c r="L9" s="1131"/>
      <c r="M9" s="1132"/>
      <c r="N9" s="1132"/>
      <c r="O9" s="1132"/>
      <c r="P9" s="3860" t="s">
        <v>2556</v>
      </c>
      <c r="Q9" s="1795" t="str">
        <f t="shared" ref="Q9:Q15" si="6">B9</f>
        <v>用途</v>
      </c>
      <c r="R9" s="770" t="s">
        <v>17</v>
      </c>
      <c r="S9" s="771">
        <f t="shared" si="0"/>
        <v>100</v>
      </c>
      <c r="T9" s="770" t="s">
        <v>17</v>
      </c>
      <c r="U9" s="771">
        <f t="shared" si="1"/>
        <v>100</v>
      </c>
      <c r="V9" s="770" t="s">
        <v>17</v>
      </c>
      <c r="W9" s="771">
        <f t="shared" si="2"/>
        <v>100</v>
      </c>
      <c r="X9" s="772"/>
      <c r="Y9" s="3704" t="s">
        <v>2557</v>
      </c>
      <c r="Z9" s="55" t="str">
        <f t="shared" ref="Z9:Z15" si="7">Q9</f>
        <v>用途</v>
      </c>
      <c r="AA9" s="773">
        <f t="shared" si="3"/>
        <v>1</v>
      </c>
      <c r="AB9" s="773">
        <f t="shared" si="4"/>
        <v>1</v>
      </c>
      <c r="AC9" s="773">
        <f t="shared" si="5"/>
        <v>1</v>
      </c>
    </row>
    <row r="10" spans="1:29" s="427" customFormat="1" ht="27.75" thickBot="1">
      <c r="A10" s="421"/>
      <c r="B10" s="422" t="s">
        <v>2558</v>
      </c>
      <c r="C10" s="423" t="s">
        <v>3711</v>
      </c>
      <c r="D10" s="136">
        <v>100</v>
      </c>
      <c r="E10" s="424" t="s">
        <v>3711</v>
      </c>
      <c r="F10" s="425">
        <f>SUMIF(65:65,E10,66:66)-SUMIF(65:65,C10,66:66)+100</f>
        <v>100</v>
      </c>
      <c r="G10" s="423" t="s">
        <v>3711</v>
      </c>
      <c r="H10" s="136">
        <f>SUMIF(65:65,G10,66:66)-SUMIF(65:65,C10,66:66)+100</f>
        <v>100</v>
      </c>
      <c r="I10" s="423" t="s">
        <v>3711</v>
      </c>
      <c r="J10" s="136">
        <f>SUMIF(65:65,I10,66:66)-SUMIF(65:65,C10,66:66)+100</f>
        <v>100</v>
      </c>
      <c r="K10" s="612">
        <v>1</v>
      </c>
      <c r="L10" s="1134"/>
      <c r="M10" s="1135"/>
      <c r="N10" s="1135"/>
      <c r="O10" s="1135"/>
      <c r="P10" s="3860"/>
      <c r="Q10" s="1795" t="str">
        <f t="shared" si="6"/>
        <v>土地使用年限（年）</v>
      </c>
      <c r="R10" s="770" t="s">
        <v>17</v>
      </c>
      <c r="S10" s="771">
        <f t="shared" si="0"/>
        <v>100</v>
      </c>
      <c r="T10" s="770" t="s">
        <v>17</v>
      </c>
      <c r="U10" s="771">
        <f t="shared" si="1"/>
        <v>100</v>
      </c>
      <c r="V10" s="770" t="s">
        <v>17</v>
      </c>
      <c r="W10" s="771">
        <f t="shared" si="2"/>
        <v>100</v>
      </c>
      <c r="X10" s="772"/>
      <c r="Y10" s="3704"/>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60"/>
      <c r="Q11" s="1795" t="str">
        <f t="shared" si="6"/>
        <v>容积率</v>
      </c>
      <c r="R11" s="770" t="s">
        <v>17</v>
      </c>
      <c r="S11" s="771">
        <f t="shared" si="0"/>
        <v>100</v>
      </c>
      <c r="T11" s="770" t="s">
        <v>17</v>
      </c>
      <c r="U11" s="771">
        <f t="shared" si="1"/>
        <v>100</v>
      </c>
      <c r="V11" s="770" t="s">
        <v>17</v>
      </c>
      <c r="W11" s="771">
        <f t="shared" si="2"/>
        <v>100</v>
      </c>
      <c r="X11" s="772"/>
      <c r="Y11" s="3704"/>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60"/>
      <c r="Q12" s="1795">
        <f t="shared" si="6"/>
        <v>111</v>
      </c>
      <c r="R12" s="770" t="s">
        <v>17</v>
      </c>
      <c r="S12" s="771">
        <f t="shared" si="0"/>
        <v>100</v>
      </c>
      <c r="T12" s="770" t="s">
        <v>17</v>
      </c>
      <c r="U12" s="771">
        <f t="shared" si="1"/>
        <v>100</v>
      </c>
      <c r="V12" s="770" t="s">
        <v>17</v>
      </c>
      <c r="W12" s="771">
        <f t="shared" si="2"/>
        <v>100</v>
      </c>
      <c r="X12" s="772"/>
      <c r="Y12" s="3704"/>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60"/>
      <c r="Q13" s="1795">
        <f t="shared" si="6"/>
        <v>111</v>
      </c>
      <c r="R13" s="770" t="s">
        <v>17</v>
      </c>
      <c r="S13" s="771">
        <f t="shared" si="0"/>
        <v>100</v>
      </c>
      <c r="T13" s="770" t="s">
        <v>17</v>
      </c>
      <c r="U13" s="771">
        <f t="shared" si="1"/>
        <v>100</v>
      </c>
      <c r="V13" s="770" t="s">
        <v>17</v>
      </c>
      <c r="W13" s="771">
        <f t="shared" si="2"/>
        <v>100</v>
      </c>
      <c r="X13" s="772"/>
      <c r="Y13" s="3704"/>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60"/>
      <c r="Q14" s="1795">
        <f t="shared" si="6"/>
        <v>111</v>
      </c>
      <c r="R14" s="770" t="s">
        <v>17</v>
      </c>
      <c r="S14" s="771">
        <f t="shared" si="0"/>
        <v>100</v>
      </c>
      <c r="T14" s="770" t="s">
        <v>17</v>
      </c>
      <c r="U14" s="771">
        <f t="shared" si="1"/>
        <v>100</v>
      </c>
      <c r="V14" s="770" t="s">
        <v>17</v>
      </c>
      <c r="W14" s="771">
        <f t="shared" si="2"/>
        <v>100</v>
      </c>
      <c r="X14" s="772"/>
      <c r="Y14" s="3704"/>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95</v>
      </c>
      <c r="G15" s="444"/>
      <c r="H15" s="441">
        <f>SUMIF(76:76,G16,77:77)-SUMIF(76:76,C16,77:77)+100</f>
        <v>95</v>
      </c>
      <c r="I15" s="442"/>
      <c r="J15" s="441">
        <f>SUMIF(76:76,I16,77:77)-SUMIF(76:76,C16,77:77)+100</f>
        <v>95</v>
      </c>
      <c r="K15" s="614">
        <v>5</v>
      </c>
      <c r="L15" s="1139"/>
      <c r="M15" s="1130"/>
      <c r="N15" s="1130"/>
      <c r="O15" s="1130"/>
      <c r="P15" s="3858" t="s">
        <v>2561</v>
      </c>
      <c r="Q15" s="1810" t="str">
        <f t="shared" si="6"/>
        <v>商业繁华度</v>
      </c>
      <c r="R15" s="774" t="s">
        <v>17</v>
      </c>
      <c r="S15" s="775">
        <f t="shared" si="0"/>
        <v>95</v>
      </c>
      <c r="T15" s="774" t="s">
        <v>17</v>
      </c>
      <c r="U15" s="775">
        <f t="shared" si="1"/>
        <v>95</v>
      </c>
      <c r="V15" s="774" t="s">
        <v>17</v>
      </c>
      <c r="W15" s="775">
        <f t="shared" si="2"/>
        <v>95</v>
      </c>
      <c r="X15" s="1813"/>
      <c r="Y15" s="3851" t="s">
        <v>2561</v>
      </c>
      <c r="Z15" s="1814" t="str">
        <f t="shared" si="7"/>
        <v>商业繁华度</v>
      </c>
      <c r="AA15" s="1811">
        <f t="shared" si="3"/>
        <v>1.0526315789473684</v>
      </c>
      <c r="AB15" s="1811">
        <f t="shared" si="4"/>
        <v>1.0526315789473684</v>
      </c>
      <c r="AC15" s="1811">
        <f t="shared" si="5"/>
        <v>1.0526315789473684</v>
      </c>
    </row>
    <row r="16" spans="1:29" ht="15">
      <c r="A16" s="428"/>
      <c r="B16" s="446"/>
      <c r="C16" s="447" t="s">
        <v>3208</v>
      </c>
      <c r="D16" s="448"/>
      <c r="E16" s="447" t="s">
        <v>3205</v>
      </c>
      <c r="F16" s="449"/>
      <c r="G16" s="447" t="s">
        <v>3205</v>
      </c>
      <c r="H16" s="450"/>
      <c r="I16" s="447" t="s">
        <v>3205</v>
      </c>
      <c r="J16" s="448"/>
      <c r="K16" s="615"/>
      <c r="L16" s="1139"/>
      <c r="M16" s="1130"/>
      <c r="N16" s="1130"/>
      <c r="O16" s="1130"/>
      <c r="P16" s="3859"/>
      <c r="Q16" s="1810"/>
      <c r="R16" s="774"/>
      <c r="S16" s="775"/>
      <c r="T16" s="774"/>
      <c r="U16" s="775"/>
      <c r="V16" s="774"/>
      <c r="W16" s="775"/>
      <c r="X16" s="1813"/>
      <c r="Y16" s="3852"/>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859"/>
      <c r="Q17" s="1810" t="str">
        <f>B17</f>
        <v>交通便捷度</v>
      </c>
      <c r="R17" s="774" t="s">
        <v>17</v>
      </c>
      <c r="S17" s="775">
        <f>F17</f>
        <v>100</v>
      </c>
      <c r="T17" s="774" t="s">
        <v>17</v>
      </c>
      <c r="U17" s="775">
        <f>H17</f>
        <v>100</v>
      </c>
      <c r="V17" s="774" t="s">
        <v>17</v>
      </c>
      <c r="W17" s="775">
        <f>J17</f>
        <v>100</v>
      </c>
      <c r="X17" s="1813"/>
      <c r="Y17" s="3852"/>
      <c r="Z17" s="1814" t="str">
        <f>Q17</f>
        <v>交通便捷度</v>
      </c>
      <c r="AA17" s="1811">
        <f t="shared" si="3"/>
        <v>1</v>
      </c>
      <c r="AB17" s="1811">
        <f t="shared" si="4"/>
        <v>1</v>
      </c>
      <c r="AC17" s="1811">
        <f t="shared" si="5"/>
        <v>1</v>
      </c>
    </row>
    <row r="18" spans="1:29" ht="15">
      <c r="A18" s="428"/>
      <c r="B18" s="456"/>
      <c r="C18" s="2607" t="s">
        <v>3208</v>
      </c>
      <c r="D18" s="450"/>
      <c r="E18" s="2609" t="s">
        <v>3208</v>
      </c>
      <c r="F18" s="453"/>
      <c r="G18" s="2608" t="s">
        <v>3208</v>
      </c>
      <c r="H18" s="448"/>
      <c r="I18" s="2609" t="s">
        <v>3208</v>
      </c>
      <c r="J18" s="448"/>
      <c r="K18" s="615"/>
      <c r="L18" s="1139"/>
      <c r="M18" s="1130"/>
      <c r="N18" s="1130"/>
      <c r="O18" s="1130"/>
      <c r="P18" s="3859"/>
      <c r="Q18" s="1810"/>
      <c r="R18" s="774"/>
      <c r="S18" s="775"/>
      <c r="T18" s="774"/>
      <c r="U18" s="775"/>
      <c r="V18" s="774"/>
      <c r="W18" s="775"/>
      <c r="X18" s="1813"/>
      <c r="Y18" s="3852"/>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59"/>
      <c r="Q19" s="1810" t="str">
        <f>B19</f>
        <v>公共配套设施</v>
      </c>
      <c r="R19" s="774" t="s">
        <v>17</v>
      </c>
      <c r="S19" s="775">
        <f>F19</f>
        <v>100</v>
      </c>
      <c r="T19" s="774" t="s">
        <v>17</v>
      </c>
      <c r="U19" s="775">
        <f>H19</f>
        <v>100</v>
      </c>
      <c r="V19" s="774" t="s">
        <v>17</v>
      </c>
      <c r="W19" s="775">
        <f>J19</f>
        <v>100</v>
      </c>
      <c r="X19" s="1813"/>
      <c r="Y19" s="3852"/>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59"/>
      <c r="Q20" s="1810"/>
      <c r="R20" s="774"/>
      <c r="S20" s="775"/>
      <c r="T20" s="774"/>
      <c r="U20" s="775"/>
      <c r="V20" s="774"/>
      <c r="W20" s="775"/>
      <c r="X20" s="1813"/>
      <c r="Y20" s="3852"/>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59"/>
      <c r="Q21" s="1810" t="str">
        <f>B21</f>
        <v>基础设施水平</v>
      </c>
      <c r="R21" s="774" t="s">
        <v>17</v>
      </c>
      <c r="S21" s="775">
        <f>F21</f>
        <v>100</v>
      </c>
      <c r="T21" s="774" t="s">
        <v>17</v>
      </c>
      <c r="U21" s="775">
        <f>H21</f>
        <v>100</v>
      </c>
      <c r="V21" s="774" t="s">
        <v>17</v>
      </c>
      <c r="W21" s="775">
        <f>J21</f>
        <v>100</v>
      </c>
      <c r="X21" s="1813"/>
      <c r="Y21" s="3852"/>
      <c r="Z21" s="1814" t="str">
        <f>Q21</f>
        <v>基础设施水平</v>
      </c>
      <c r="AA21" s="1811">
        <f t="shared" ref="AA21" si="8">D21/F21</f>
        <v>1</v>
      </c>
      <c r="AB21" s="1811">
        <f t="shared" ref="AB21" si="9">D21/H21</f>
        <v>1</v>
      </c>
      <c r="AC21" s="1811">
        <f t="shared" ref="AC21" si="10">D21/J21</f>
        <v>1</v>
      </c>
    </row>
    <row r="22" spans="1:29" ht="15">
      <c r="A22" s="428"/>
      <c r="B22" s="1383"/>
      <c r="C22" s="2607" t="s">
        <v>3717</v>
      </c>
      <c r="D22" s="448"/>
      <c r="E22" s="447" t="s">
        <v>3717</v>
      </c>
      <c r="F22" s="449"/>
      <c r="G22" s="447" t="s">
        <v>3717</v>
      </c>
      <c r="H22" s="448"/>
      <c r="I22" s="447" t="s">
        <v>3717</v>
      </c>
      <c r="J22" s="448"/>
      <c r="K22" s="1382"/>
      <c r="L22" s="1139"/>
      <c r="M22" s="1130"/>
      <c r="N22" s="1130"/>
      <c r="O22" s="1130"/>
      <c r="P22" s="3859"/>
      <c r="Q22" s="1810"/>
      <c r="R22" s="774"/>
      <c r="S22" s="775"/>
      <c r="T22" s="774"/>
      <c r="U22" s="775"/>
      <c r="V22" s="774"/>
      <c r="W22" s="775"/>
      <c r="X22" s="1813"/>
      <c r="Y22" s="3852"/>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859"/>
      <c r="Q23" s="1810" t="str">
        <f>B23</f>
        <v>自然及人文环境</v>
      </c>
      <c r="R23" s="774" t="s">
        <v>17</v>
      </c>
      <c r="S23" s="775">
        <f>F23</f>
        <v>100</v>
      </c>
      <c r="T23" s="774" t="s">
        <v>17</v>
      </c>
      <c r="U23" s="775">
        <f>H23</f>
        <v>100</v>
      </c>
      <c r="V23" s="774" t="s">
        <v>17</v>
      </c>
      <c r="W23" s="775">
        <f>J23</f>
        <v>100</v>
      </c>
      <c r="X23" s="1813"/>
      <c r="Y23" s="3852"/>
      <c r="Z23" s="1814" t="str">
        <f>Q23</f>
        <v>自然及人文环境</v>
      </c>
      <c r="AA23" s="1811">
        <f t="shared" si="3"/>
        <v>1</v>
      </c>
      <c r="AB23" s="1811">
        <f t="shared" si="4"/>
        <v>1</v>
      </c>
      <c r="AC23" s="1811">
        <f t="shared" si="5"/>
        <v>1</v>
      </c>
    </row>
    <row r="24" spans="1:29" ht="15">
      <c r="A24" s="428"/>
      <c r="B24" s="456"/>
      <c r="C24" s="447" t="s">
        <v>3208</v>
      </c>
      <c r="D24" s="448"/>
      <c r="E24" s="2604" t="s">
        <v>3208</v>
      </c>
      <c r="F24" s="449"/>
      <c r="G24" s="2603" t="s">
        <v>3208</v>
      </c>
      <c r="H24" s="448"/>
      <c r="I24" s="2604" t="s">
        <v>3208</v>
      </c>
      <c r="J24" s="448"/>
      <c r="K24" s="615"/>
      <c r="L24" s="1139"/>
      <c r="M24" s="1130"/>
      <c r="N24" s="1130"/>
      <c r="O24" s="1130"/>
      <c r="P24" s="3859"/>
      <c r="Q24" s="1810"/>
      <c r="R24" s="774"/>
      <c r="S24" s="775"/>
      <c r="T24" s="774"/>
      <c r="U24" s="775"/>
      <c r="V24" s="774"/>
      <c r="W24" s="775"/>
      <c r="X24" s="1813"/>
      <c r="Y24" s="3852"/>
      <c r="Z24" s="1814"/>
      <c r="AA24" s="1811">
        <v>1</v>
      </c>
      <c r="AB24" s="1811">
        <v>1</v>
      </c>
      <c r="AC24" s="1811">
        <v>1</v>
      </c>
    </row>
    <row r="25" spans="1:29" ht="15">
      <c r="A25" s="428"/>
      <c r="B25" s="422" t="s">
        <v>2657</v>
      </c>
      <c r="C25" s="616" t="s">
        <v>3718</v>
      </c>
      <c r="D25" s="435">
        <v>100</v>
      </c>
      <c r="E25" s="616" t="s">
        <v>3718</v>
      </c>
      <c r="F25" s="461">
        <f>SUMIF(86:86,E25,87:87)-SUMIF(86:86,C25,87:87)+100</f>
        <v>100</v>
      </c>
      <c r="G25" s="616" t="s">
        <v>3718</v>
      </c>
      <c r="H25" s="435">
        <f>SUMIF(86:86,G25,87:87)-SUMIF(86:86,C25,87:87)+100</f>
        <v>100</v>
      </c>
      <c r="I25" s="616" t="s">
        <v>3718</v>
      </c>
      <c r="J25" s="435">
        <f>SUMIF(86:86,I25,87:87)-SUMIF(86:86,C25,87:87)+100</f>
        <v>100</v>
      </c>
      <c r="K25" s="612">
        <v>2</v>
      </c>
      <c r="L25" s="1139"/>
      <c r="M25" s="1130"/>
      <c r="N25" s="1130"/>
      <c r="O25" s="1130"/>
      <c r="P25" s="3859"/>
      <c r="Q25" s="1810" t="str">
        <f t="shared" ref="Q25:Q46" si="11">B25</f>
        <v>临街状况</v>
      </c>
      <c r="R25" s="774" t="s">
        <v>17</v>
      </c>
      <c r="S25" s="775">
        <f>F25</f>
        <v>100</v>
      </c>
      <c r="T25" s="774" t="s">
        <v>17</v>
      </c>
      <c r="U25" s="775">
        <f>H25</f>
        <v>100</v>
      </c>
      <c r="V25" s="774" t="s">
        <v>17</v>
      </c>
      <c r="W25" s="775">
        <f>J25</f>
        <v>100</v>
      </c>
      <c r="X25" s="1813"/>
      <c r="Y25" s="3852"/>
      <c r="Z25" s="1814" t="str">
        <f>Q25</f>
        <v>临街状况</v>
      </c>
      <c r="AA25" s="1811">
        <f t="shared" si="3"/>
        <v>1</v>
      </c>
      <c r="AB25" s="1811">
        <f t="shared" si="4"/>
        <v>1</v>
      </c>
      <c r="AC25" s="1811">
        <f t="shared" si="5"/>
        <v>1</v>
      </c>
    </row>
    <row r="26" spans="1:29" ht="15">
      <c r="A26" s="428"/>
      <c r="B26" s="1385" t="s">
        <v>2658</v>
      </c>
      <c r="C26" s="3586" t="s">
        <v>3812</v>
      </c>
      <c r="D26" s="435">
        <v>100</v>
      </c>
      <c r="E26" s="3586" t="s">
        <v>3797</v>
      </c>
      <c r="F26" s="461">
        <f>SUMIF(88:88,E26,89:89)-SUMIF(88:88,C26,89:89)+100</f>
        <v>100</v>
      </c>
      <c r="G26" s="3586" t="s">
        <v>3797</v>
      </c>
      <c r="H26" s="435">
        <f>SUMIF(88:88,G26,89:89)-SUMIF(88:88,C26,89:89)+100</f>
        <v>100</v>
      </c>
      <c r="I26" s="3586" t="s">
        <v>3797</v>
      </c>
      <c r="J26" s="435">
        <f>SUMIF(88:88,I26,89:89)-SUMIF(88:88,C26,89:89)+100</f>
        <v>100</v>
      </c>
      <c r="K26" s="613"/>
      <c r="L26" s="1139"/>
      <c r="M26" s="1130"/>
      <c r="N26" s="1130"/>
      <c r="O26" s="1130"/>
      <c r="P26" s="3859"/>
      <c r="Q26" s="1810" t="str">
        <f t="shared" si="11"/>
        <v>平面位置/可视性</v>
      </c>
      <c r="R26" s="774" t="s">
        <v>17</v>
      </c>
      <c r="S26" s="775">
        <f>F26</f>
        <v>100</v>
      </c>
      <c r="T26" s="774" t="s">
        <v>17</v>
      </c>
      <c r="U26" s="775">
        <f>H26</f>
        <v>100</v>
      </c>
      <c r="V26" s="774" t="s">
        <v>17</v>
      </c>
      <c r="W26" s="775">
        <f>J26</f>
        <v>100</v>
      </c>
      <c r="X26" s="1813"/>
      <c r="Y26" s="3852"/>
      <c r="Z26" s="1814" t="str">
        <f>Q26</f>
        <v>平面位置/可视性</v>
      </c>
      <c r="AA26" s="1811">
        <f t="shared" si="3"/>
        <v>1</v>
      </c>
      <c r="AB26" s="1811">
        <f t="shared" si="4"/>
        <v>1</v>
      </c>
      <c r="AC26" s="1811">
        <f t="shared" si="5"/>
        <v>1</v>
      </c>
    </row>
    <row r="27" spans="1:29" s="117" customFormat="1" ht="15">
      <c r="A27" s="431"/>
      <c r="B27" s="451" t="s">
        <v>2659</v>
      </c>
      <c r="C27" s="2664" t="s">
        <v>3801</v>
      </c>
      <c r="D27" s="462">
        <v>100</v>
      </c>
      <c r="E27" s="2664" t="s">
        <v>3719</v>
      </c>
      <c r="F27" s="464">
        <f>SUMIF(90:90,E27,91:91)-SUMIF(90:90,C27,91:91)+100</f>
        <v>99</v>
      </c>
      <c r="G27" s="2664" t="s">
        <v>3719</v>
      </c>
      <c r="H27" s="462">
        <f>SUMIF(90:90,G27,91:91)-SUMIF(90:90,C27,91:91)+100</f>
        <v>99</v>
      </c>
      <c r="I27" s="2664" t="s">
        <v>3719</v>
      </c>
      <c r="J27" s="462">
        <f>SUMIF(90:90,I27,91:91)-SUMIF(90:90,C27,91:91)+100</f>
        <v>99</v>
      </c>
      <c r="K27" s="612">
        <v>1</v>
      </c>
      <c r="L27" s="1131"/>
      <c r="M27" s="1132"/>
      <c r="N27" s="1132"/>
      <c r="O27" s="1132"/>
      <c r="P27" s="3859"/>
      <c r="Q27" s="1795" t="str">
        <f t="shared" si="11"/>
        <v>人流量</v>
      </c>
      <c r="R27" s="770" t="s">
        <v>17</v>
      </c>
      <c r="S27" s="771">
        <f>F27</f>
        <v>99</v>
      </c>
      <c r="T27" s="770" t="s">
        <v>17</v>
      </c>
      <c r="U27" s="771">
        <f>H27</f>
        <v>99</v>
      </c>
      <c r="V27" s="770" t="s">
        <v>17</v>
      </c>
      <c r="W27" s="771">
        <f>J27</f>
        <v>99</v>
      </c>
      <c r="X27" s="772"/>
      <c r="Y27" s="3852"/>
      <c r="Z27" s="55" t="str">
        <f>Q27</f>
        <v>人流量</v>
      </c>
      <c r="AA27" s="1811">
        <f>D27/F27</f>
        <v>1.0101010101010102</v>
      </c>
      <c r="AB27" s="1811">
        <f>D27/H27</f>
        <v>1.0101010101010102</v>
      </c>
      <c r="AC27" s="1811">
        <f>D27/J27</f>
        <v>1.0101010101010102</v>
      </c>
    </row>
    <row r="28" spans="1:29" ht="15.75" thickBot="1">
      <c r="A28" s="428"/>
      <c r="B28" s="422" t="s">
        <v>2660</v>
      </c>
      <c r="C28" s="616" t="s">
        <v>3641</v>
      </c>
      <c r="D28" s="435">
        <v>100</v>
      </c>
      <c r="E28" s="616" t="s">
        <v>3641</v>
      </c>
      <c r="F28" s="461">
        <f>SUMIF(92:92,E28,93:93)-SUMIF(92:92,C28,93:93)+100</f>
        <v>100</v>
      </c>
      <c r="G28" s="616" t="s">
        <v>3641</v>
      </c>
      <c r="H28" s="435">
        <f>SUMIF(92:92,G28,93:93)-SUMIF(92:92,C28,93:93)+100</f>
        <v>100</v>
      </c>
      <c r="I28" s="616" t="s">
        <v>3641</v>
      </c>
      <c r="J28" s="435">
        <f>SUMIF(92:92,I28,93:93)-SUMIF(92:92,C28,93:93)+100</f>
        <v>100</v>
      </c>
      <c r="K28" s="613"/>
      <c r="L28" s="1139"/>
      <c r="M28" s="1130"/>
      <c r="N28" s="1130"/>
      <c r="O28" s="1130"/>
      <c r="P28" s="385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52"/>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59"/>
      <c r="Q29" s="1810">
        <f t="shared" si="11"/>
        <v>111</v>
      </c>
      <c r="R29" s="774" t="s">
        <v>17</v>
      </c>
      <c r="S29" s="775">
        <f t="shared" si="12"/>
        <v>100</v>
      </c>
      <c r="T29" s="774" t="s">
        <v>17</v>
      </c>
      <c r="U29" s="775">
        <f t="shared" si="13"/>
        <v>100</v>
      </c>
      <c r="V29" s="774" t="s">
        <v>17</v>
      </c>
      <c r="W29" s="775">
        <f t="shared" si="14"/>
        <v>100</v>
      </c>
      <c r="X29" s="1813"/>
      <c r="Y29" s="3852"/>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59"/>
      <c r="Q30" s="1810">
        <f t="shared" si="11"/>
        <v>111</v>
      </c>
      <c r="R30" s="774" t="s">
        <v>17</v>
      </c>
      <c r="S30" s="775">
        <f t="shared" si="12"/>
        <v>100</v>
      </c>
      <c r="T30" s="774" t="s">
        <v>17</v>
      </c>
      <c r="U30" s="775">
        <f t="shared" si="13"/>
        <v>100</v>
      </c>
      <c r="V30" s="774" t="s">
        <v>17</v>
      </c>
      <c r="W30" s="775">
        <f t="shared" si="14"/>
        <v>100</v>
      </c>
      <c r="X30" s="1813"/>
      <c r="Y30" s="3852"/>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59"/>
      <c r="Q31" s="1810">
        <f t="shared" si="11"/>
        <v>111</v>
      </c>
      <c r="R31" s="774" t="s">
        <v>17</v>
      </c>
      <c r="S31" s="775">
        <f t="shared" si="12"/>
        <v>100</v>
      </c>
      <c r="T31" s="774" t="s">
        <v>17</v>
      </c>
      <c r="U31" s="775">
        <f t="shared" si="13"/>
        <v>100</v>
      </c>
      <c r="V31" s="774" t="s">
        <v>17</v>
      </c>
      <c r="W31" s="775">
        <f t="shared" si="14"/>
        <v>100</v>
      </c>
      <c r="X31" s="1813"/>
      <c r="Y31" s="3852"/>
      <c r="Z31" s="1814">
        <f t="shared" si="15"/>
        <v>111</v>
      </c>
      <c r="AA31" s="1811">
        <f t="shared" si="3"/>
        <v>1</v>
      </c>
      <c r="AB31" s="1811">
        <f t="shared" si="4"/>
        <v>1</v>
      </c>
      <c r="AC31" s="1811">
        <f t="shared" si="5"/>
        <v>1</v>
      </c>
    </row>
    <row r="32" spans="1:29" ht="15">
      <c r="A32" s="440" t="s">
        <v>2564</v>
      </c>
      <c r="B32" s="71" t="s">
        <v>2661</v>
      </c>
      <c r="C32" s="2616" t="s">
        <v>3808</v>
      </c>
      <c r="D32" s="467">
        <v>100</v>
      </c>
      <c r="E32" s="2616" t="s">
        <v>3810</v>
      </c>
      <c r="F32" s="461">
        <f>SUMIF(100:100,E32,101:101)-SUMIF(100:100,C32,101:101)+100</f>
        <v>98</v>
      </c>
      <c r="G32" s="2616" t="s">
        <v>3810</v>
      </c>
      <c r="H32" s="435">
        <f>SUMIF(100:100,G32,101:101)-SUMIF(100:100,C32,101:101)+100</f>
        <v>98</v>
      </c>
      <c r="I32" s="2616" t="s">
        <v>3810</v>
      </c>
      <c r="J32" s="467">
        <f>SUMIF(100:100,I32,101:101)-SUMIF(100:100,C32,101:101)+100</f>
        <v>98</v>
      </c>
      <c r="K32" s="612">
        <v>2</v>
      </c>
      <c r="L32" s="1139"/>
      <c r="M32" s="1130"/>
      <c r="N32" s="1130"/>
      <c r="O32" s="1130"/>
      <c r="P32" s="3853" t="s">
        <v>2566</v>
      </c>
      <c r="Q32" s="1810" t="str">
        <f t="shared" si="11"/>
        <v>商业类型</v>
      </c>
      <c r="R32" s="774" t="s">
        <v>17</v>
      </c>
      <c r="S32" s="775">
        <f t="shared" si="12"/>
        <v>98</v>
      </c>
      <c r="T32" s="774" t="s">
        <v>17</v>
      </c>
      <c r="U32" s="775">
        <f t="shared" si="13"/>
        <v>98</v>
      </c>
      <c r="V32" s="774" t="s">
        <v>17</v>
      </c>
      <c r="W32" s="775">
        <f t="shared" si="14"/>
        <v>98</v>
      </c>
      <c r="X32" s="1813"/>
      <c r="Y32" s="3856" t="s">
        <v>2566</v>
      </c>
      <c r="Z32" s="1814" t="str">
        <f t="shared" si="15"/>
        <v>商业类型</v>
      </c>
      <c r="AA32" s="1811">
        <f t="shared" si="3"/>
        <v>1.0204081632653061</v>
      </c>
      <c r="AB32" s="1811">
        <f t="shared" si="4"/>
        <v>1.0204081632653061</v>
      </c>
      <c r="AC32" s="1811">
        <f t="shared" si="5"/>
        <v>1.0204081632653061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54"/>
      <c r="Q33" s="776" t="str">
        <f t="shared" si="11"/>
        <v>项目建筑规模</v>
      </c>
      <c r="R33" s="777" t="s">
        <v>17</v>
      </c>
      <c r="S33" s="778">
        <f t="shared" si="12"/>
        <v>100</v>
      </c>
      <c r="T33" s="777" t="s">
        <v>17</v>
      </c>
      <c r="U33" s="778">
        <f t="shared" si="13"/>
        <v>100</v>
      </c>
      <c r="V33" s="777" t="s">
        <v>17</v>
      </c>
      <c r="W33" s="778">
        <f t="shared" si="14"/>
        <v>100</v>
      </c>
      <c r="X33" s="779"/>
      <c r="Y33" s="3856"/>
      <c r="Z33" s="780" t="str">
        <f t="shared" si="15"/>
        <v>项目建筑规模</v>
      </c>
      <c r="AA33" s="1811">
        <f t="shared" si="3"/>
        <v>1</v>
      </c>
      <c r="AB33" s="1811">
        <f t="shared" si="4"/>
        <v>1</v>
      </c>
      <c r="AC33" s="1811">
        <f t="shared" si="5"/>
        <v>1</v>
      </c>
    </row>
    <row r="34" spans="1:29" ht="15">
      <c r="A34" s="472"/>
      <c r="B34" s="422" t="s">
        <v>2568</v>
      </c>
      <c r="C34" s="2618" t="s">
        <v>3672</v>
      </c>
      <c r="D34" s="435">
        <v>100</v>
      </c>
      <c r="E34" s="2618" t="s">
        <v>3672</v>
      </c>
      <c r="F34" s="461">
        <f>SUMIF(105:105,E34,106:106)-SUMIF(105:105,C34,106:106)+100</f>
        <v>100</v>
      </c>
      <c r="G34" s="2618" t="s">
        <v>3672</v>
      </c>
      <c r="H34" s="435">
        <f>SUMIF(105:105,G34,106:106)-SUMIF(105:105,C34,106:106)+100</f>
        <v>100</v>
      </c>
      <c r="I34" s="2618" t="s">
        <v>3672</v>
      </c>
      <c r="J34" s="435">
        <f>SUMIF(105:105,I34,106:106)-SUMIF(105:105,C34,106:106)+100</f>
        <v>100</v>
      </c>
      <c r="K34" s="612">
        <v>1</v>
      </c>
      <c r="L34" s="1139"/>
      <c r="M34" s="1130"/>
      <c r="N34" s="1130"/>
      <c r="O34" s="1130"/>
      <c r="P34" s="3854"/>
      <c r="Q34" s="1810" t="str">
        <f t="shared" si="11"/>
        <v>建筑结构</v>
      </c>
      <c r="R34" s="774" t="s">
        <v>17</v>
      </c>
      <c r="S34" s="775">
        <f t="shared" si="12"/>
        <v>100</v>
      </c>
      <c r="T34" s="774" t="s">
        <v>17</v>
      </c>
      <c r="U34" s="775">
        <f t="shared" si="13"/>
        <v>100</v>
      </c>
      <c r="V34" s="774" t="s">
        <v>17</v>
      </c>
      <c r="W34" s="775">
        <f t="shared" si="14"/>
        <v>100</v>
      </c>
      <c r="X34" s="1813"/>
      <c r="Y34" s="3856"/>
      <c r="Z34" s="1814" t="str">
        <f t="shared" si="15"/>
        <v>建筑结构</v>
      </c>
      <c r="AA34" s="1811">
        <f t="shared" si="3"/>
        <v>1</v>
      </c>
      <c r="AB34" s="1811">
        <f t="shared" si="4"/>
        <v>1</v>
      </c>
      <c r="AC34" s="1811">
        <f t="shared" si="5"/>
        <v>1</v>
      </c>
    </row>
    <row r="35" spans="1:29" ht="15">
      <c r="A35" s="472"/>
      <c r="B35" s="422" t="s">
        <v>2662</v>
      </c>
      <c r="C35" s="2612" t="s">
        <v>3778</v>
      </c>
      <c r="D35" s="435">
        <v>100</v>
      </c>
      <c r="E35" s="2612" t="s">
        <v>3780</v>
      </c>
      <c r="F35" s="461">
        <f>SUMIF(107:107,E35,108:108)-SUMIF(107:107,C35,108:108)+100</f>
        <v>98</v>
      </c>
      <c r="G35" s="2612" t="s">
        <v>3780</v>
      </c>
      <c r="H35" s="435">
        <f>SUMIF(107:107,G35,108:108)-SUMIF(107:107,C35,108:108)+100</f>
        <v>98</v>
      </c>
      <c r="I35" s="2612" t="s">
        <v>3780</v>
      </c>
      <c r="J35" s="435">
        <f>SUMIF(107:107,I35,108:108)-SUMIF(107:107,C35,108:108)+100</f>
        <v>98</v>
      </c>
      <c r="K35" s="612">
        <v>2</v>
      </c>
      <c r="L35" s="1139"/>
      <c r="M35" s="1130"/>
      <c r="N35" s="1130"/>
      <c r="O35" s="1130"/>
      <c r="P35" s="3854"/>
      <c r="Q35" s="1810" t="str">
        <f t="shared" si="11"/>
        <v>公共部分装修</v>
      </c>
      <c r="R35" s="774" t="s">
        <v>17</v>
      </c>
      <c r="S35" s="775">
        <f t="shared" si="12"/>
        <v>98</v>
      </c>
      <c r="T35" s="774" t="s">
        <v>17</v>
      </c>
      <c r="U35" s="775">
        <f t="shared" si="13"/>
        <v>98</v>
      </c>
      <c r="V35" s="774" t="s">
        <v>17</v>
      </c>
      <c r="W35" s="775">
        <f t="shared" si="14"/>
        <v>98</v>
      </c>
      <c r="X35" s="1813"/>
      <c r="Y35" s="3856"/>
      <c r="Z35" s="1814" t="str">
        <f t="shared" si="15"/>
        <v>公共部分装修</v>
      </c>
      <c r="AA35" s="1811">
        <f t="shared" si="3"/>
        <v>1.0204081632653061</v>
      </c>
      <c r="AB35" s="1811">
        <f t="shared" si="4"/>
        <v>1.0204081632653061</v>
      </c>
      <c r="AC35" s="1811">
        <f t="shared" si="5"/>
        <v>1.0204081632653061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39"/>
      <c r="M36" s="1130"/>
      <c r="N36" s="1130"/>
      <c r="O36" s="1130"/>
      <c r="P36" s="3854"/>
      <c r="Q36" s="1810" t="str">
        <f t="shared" si="11"/>
        <v>成新度</v>
      </c>
      <c r="R36" s="774" t="s">
        <v>17</v>
      </c>
      <c r="S36" s="775">
        <f t="shared" si="12"/>
        <v>100</v>
      </c>
      <c r="T36" s="774" t="s">
        <v>17</v>
      </c>
      <c r="U36" s="775">
        <f t="shared" si="13"/>
        <v>100</v>
      </c>
      <c r="V36" s="774" t="s">
        <v>17</v>
      </c>
      <c r="W36" s="775">
        <f t="shared" si="14"/>
        <v>100</v>
      </c>
      <c r="X36" s="1813"/>
      <c r="Y36" s="3856"/>
      <c r="Z36" s="1814" t="str">
        <f t="shared" si="15"/>
        <v>成新度</v>
      </c>
      <c r="AA36" s="1811">
        <f t="shared" si="3"/>
        <v>1</v>
      </c>
      <c r="AB36" s="1811">
        <f t="shared" si="4"/>
        <v>1</v>
      </c>
      <c r="AC36" s="1811">
        <f t="shared" si="5"/>
        <v>1</v>
      </c>
    </row>
    <row r="37" spans="1:29" s="117" customFormat="1" ht="15">
      <c r="A37" s="473"/>
      <c r="B37" s="422" t="s">
        <v>2664</v>
      </c>
      <c r="C37" s="2612" t="s">
        <v>3717</v>
      </c>
      <c r="D37" s="136">
        <v>100</v>
      </c>
      <c r="E37" s="2612" t="s">
        <v>3717</v>
      </c>
      <c r="F37" s="461">
        <f>SUMIF(112:112,E37,113:113)-SUMIF(112:112,C37,113:113)+100</f>
        <v>100</v>
      </c>
      <c r="G37" s="2612" t="s">
        <v>3717</v>
      </c>
      <c r="H37" s="435">
        <f>SUMIF(112:112,G37,113:113)-SUMIF(112:112,C37,113:113)+100</f>
        <v>100</v>
      </c>
      <c r="I37" s="2612" t="s">
        <v>3717</v>
      </c>
      <c r="J37" s="435">
        <f>SUMIF(112:112,I37,113:113)-SUMIF(112:112,C37,113:113)+100</f>
        <v>100</v>
      </c>
      <c r="K37" s="612">
        <v>1</v>
      </c>
      <c r="L37" s="1131"/>
      <c r="M37" s="1132"/>
      <c r="N37" s="1132"/>
      <c r="O37" s="1132"/>
      <c r="P37" s="3854"/>
      <c r="Q37" s="1795" t="str">
        <f t="shared" si="11"/>
        <v>市政基础设施</v>
      </c>
      <c r="R37" s="770" t="s">
        <v>17</v>
      </c>
      <c r="S37" s="771">
        <f t="shared" si="12"/>
        <v>100</v>
      </c>
      <c r="T37" s="770" t="s">
        <v>17</v>
      </c>
      <c r="U37" s="771">
        <f t="shared" si="13"/>
        <v>100</v>
      </c>
      <c r="V37" s="770" t="s">
        <v>17</v>
      </c>
      <c r="W37" s="771">
        <f t="shared" si="14"/>
        <v>100</v>
      </c>
      <c r="X37" s="772"/>
      <c r="Y37" s="3856"/>
      <c r="Z37" s="55" t="str">
        <f t="shared" si="15"/>
        <v>市政基础设施</v>
      </c>
      <c r="AA37" s="773">
        <f t="shared" si="3"/>
        <v>1</v>
      </c>
      <c r="AB37" s="773">
        <f t="shared" si="4"/>
        <v>1</v>
      </c>
      <c r="AC37" s="773">
        <f t="shared" si="5"/>
        <v>1</v>
      </c>
    </row>
    <row r="38" spans="1:29" ht="15">
      <c r="A38" s="472"/>
      <c r="B38" s="422" t="s">
        <v>2665</v>
      </c>
      <c r="C38" s="2612" t="s">
        <v>3784</v>
      </c>
      <c r="D38" s="435">
        <v>100</v>
      </c>
      <c r="E38" s="2612" t="s">
        <v>3727</v>
      </c>
      <c r="F38" s="461">
        <f>SUMIF(114:114,E38,115:115)-SUMIF(114:114,C38,115:115)+100</f>
        <v>95</v>
      </c>
      <c r="G38" s="2612" t="s">
        <v>3727</v>
      </c>
      <c r="H38" s="435">
        <f>SUMIF(114:114,G38,115:115)-SUMIF(114:114,C38,115:115)+100</f>
        <v>95</v>
      </c>
      <c r="I38" s="2612" t="s">
        <v>3727</v>
      </c>
      <c r="J38" s="435">
        <f>SUMIF(114:114,I38,115:115)-SUMIF(114:114,C38,115:115)+100</f>
        <v>95</v>
      </c>
      <c r="K38" s="612">
        <v>5</v>
      </c>
      <c r="L38" s="1139"/>
      <c r="M38" s="1130"/>
      <c r="N38" s="1130"/>
      <c r="O38" s="1130"/>
      <c r="P38" s="3854" t="s">
        <v>2566</v>
      </c>
      <c r="Q38" s="1810" t="str">
        <f t="shared" si="11"/>
        <v>业态</v>
      </c>
      <c r="R38" s="774" t="s">
        <v>17</v>
      </c>
      <c r="S38" s="775">
        <f t="shared" si="12"/>
        <v>95</v>
      </c>
      <c r="T38" s="774" t="s">
        <v>17</v>
      </c>
      <c r="U38" s="775">
        <f t="shared" si="13"/>
        <v>95</v>
      </c>
      <c r="V38" s="774" t="s">
        <v>17</v>
      </c>
      <c r="W38" s="775">
        <f t="shared" si="14"/>
        <v>95</v>
      </c>
      <c r="X38" s="1813"/>
      <c r="Y38" s="3856"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3772</v>
      </c>
      <c r="D39" s="435">
        <v>100</v>
      </c>
      <c r="E39" s="2612" t="s">
        <v>3774</v>
      </c>
      <c r="F39" s="461">
        <f>SUMIF(116:116,E39,117:117)-SUMIF(116:116,C39,117:117)+100</f>
        <v>95</v>
      </c>
      <c r="G39" s="2612" t="s">
        <v>3774</v>
      </c>
      <c r="H39" s="435">
        <f>SUMIF(116:116,G39,117:117)-SUMIF(116:116,C39,117:117)+100</f>
        <v>95</v>
      </c>
      <c r="I39" s="2612" t="s">
        <v>3774</v>
      </c>
      <c r="J39" s="435">
        <f>SUMIF(116:116,I39,117:117)-SUMIF(116:116,C39,117:117)+100</f>
        <v>95</v>
      </c>
      <c r="K39" s="612">
        <v>5</v>
      </c>
      <c r="L39" s="1139"/>
      <c r="M39" s="1130"/>
      <c r="N39" s="1130"/>
      <c r="O39" s="1130"/>
      <c r="P39" s="3854"/>
      <c r="Q39" s="1810" t="str">
        <f t="shared" si="11"/>
        <v>层高</v>
      </c>
      <c r="R39" s="774" t="s">
        <v>17</v>
      </c>
      <c r="S39" s="775">
        <f t="shared" si="12"/>
        <v>95</v>
      </c>
      <c r="T39" s="774" t="s">
        <v>17</v>
      </c>
      <c r="U39" s="775">
        <f t="shared" si="13"/>
        <v>95</v>
      </c>
      <c r="V39" s="774" t="s">
        <v>17</v>
      </c>
      <c r="W39" s="775">
        <f t="shared" si="14"/>
        <v>95</v>
      </c>
      <c r="X39" s="1813"/>
      <c r="Y39" s="3856"/>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54"/>
      <c r="Q40" s="1810" t="str">
        <f t="shared" si="11"/>
        <v>单套建筑面积</v>
      </c>
      <c r="R40" s="774" t="s">
        <v>17</v>
      </c>
      <c r="S40" s="775">
        <f t="shared" si="12"/>
        <v>100</v>
      </c>
      <c r="T40" s="774" t="s">
        <v>17</v>
      </c>
      <c r="U40" s="775">
        <f t="shared" si="13"/>
        <v>100</v>
      </c>
      <c r="V40" s="774" t="s">
        <v>17</v>
      </c>
      <c r="W40" s="775">
        <f t="shared" si="14"/>
        <v>100</v>
      </c>
      <c r="X40" s="1813"/>
      <c r="Y40" s="3856"/>
      <c r="Z40" s="1814" t="str">
        <f t="shared" si="15"/>
        <v>单套建筑面积</v>
      </c>
      <c r="AA40" s="1811">
        <f t="shared" si="3"/>
        <v>1</v>
      </c>
      <c r="AB40" s="1811">
        <f t="shared" si="4"/>
        <v>1</v>
      </c>
      <c r="AC40" s="1811">
        <f t="shared" si="5"/>
        <v>1</v>
      </c>
    </row>
    <row r="41" spans="1:29" s="471" customFormat="1" ht="15">
      <c r="A41" s="468"/>
      <c r="B41" s="1812" t="s">
        <v>2668</v>
      </c>
      <c r="C41" s="616" t="s">
        <v>3729</v>
      </c>
      <c r="D41" s="435">
        <v>100</v>
      </c>
      <c r="E41" s="616" t="s">
        <v>3729</v>
      </c>
      <c r="F41" s="461">
        <f>SUMIF(120:120,E41,121:121)-SUMIF(120:120,C41,121:121)+100</f>
        <v>100</v>
      </c>
      <c r="G41" s="616" t="s">
        <v>3729</v>
      </c>
      <c r="H41" s="435">
        <f>SUMIF(120:120,G41,121:121)-SUMIF(120:120,C41,121:121)+100</f>
        <v>100</v>
      </c>
      <c r="I41" s="616" t="s">
        <v>3729</v>
      </c>
      <c r="J41" s="435">
        <f>SUMIF(120:120,I41,121:121)-SUMIF(120:120,C41,121:121)+100</f>
        <v>100</v>
      </c>
      <c r="K41" s="612">
        <v>1</v>
      </c>
      <c r="L41" s="1137"/>
      <c r="M41" s="1140"/>
      <c r="N41" s="1140"/>
      <c r="O41" s="1140"/>
      <c r="P41" s="3854"/>
      <c r="Q41" s="776" t="str">
        <f t="shared" si="11"/>
        <v>进深比</v>
      </c>
      <c r="R41" s="777" t="s">
        <v>17</v>
      </c>
      <c r="S41" s="778">
        <f t="shared" si="12"/>
        <v>100</v>
      </c>
      <c r="T41" s="777" t="s">
        <v>17</v>
      </c>
      <c r="U41" s="778">
        <f t="shared" si="13"/>
        <v>100</v>
      </c>
      <c r="V41" s="777" t="s">
        <v>17</v>
      </c>
      <c r="W41" s="778">
        <f t="shared" si="14"/>
        <v>100</v>
      </c>
      <c r="X41" s="779"/>
      <c r="Y41" s="3856"/>
      <c r="Z41" s="780" t="str">
        <f t="shared" si="15"/>
        <v>进深比</v>
      </c>
      <c r="AA41" s="1811">
        <f t="shared" si="3"/>
        <v>1</v>
      </c>
      <c r="AB41" s="1811">
        <f t="shared" si="4"/>
        <v>1</v>
      </c>
      <c r="AC41" s="1811">
        <f t="shared" si="5"/>
        <v>1</v>
      </c>
    </row>
    <row r="42" spans="1:29" ht="15">
      <c r="A42" s="472"/>
      <c r="B42" s="422" t="s">
        <v>2669</v>
      </c>
      <c r="C42" s="2612" t="s">
        <v>3730</v>
      </c>
      <c r="D42" s="435">
        <v>100</v>
      </c>
      <c r="E42" s="2612" t="s">
        <v>3730</v>
      </c>
      <c r="F42" s="461">
        <f>SUMIF(122:122,E42,123:123)-SUMIF(122:122,C42,123:123)+100</f>
        <v>100</v>
      </c>
      <c r="G42" s="2612" t="s">
        <v>3780</v>
      </c>
      <c r="H42" s="435">
        <f>SUMIF(122:122,G42,123:123)-SUMIF(122:122,C42,123:123)+100</f>
        <v>102</v>
      </c>
      <c r="I42" s="2612" t="s">
        <v>3780</v>
      </c>
      <c r="J42" s="435">
        <f>SUMIF(122:122,I42,123:123)-SUMIF(122:122,C42,123:123)+100</f>
        <v>102</v>
      </c>
      <c r="K42" s="612">
        <v>1</v>
      </c>
      <c r="L42" s="1139"/>
      <c r="M42" s="1130"/>
      <c r="N42" s="1130"/>
      <c r="O42" s="1130"/>
      <c r="P42" s="3854"/>
      <c r="Q42" s="1810" t="str">
        <f t="shared" si="11"/>
        <v>内部装修</v>
      </c>
      <c r="R42" s="774" t="s">
        <v>17</v>
      </c>
      <c r="S42" s="775">
        <f t="shared" si="12"/>
        <v>100</v>
      </c>
      <c r="T42" s="774" t="s">
        <v>17</v>
      </c>
      <c r="U42" s="775">
        <f t="shared" si="13"/>
        <v>102</v>
      </c>
      <c r="V42" s="774" t="s">
        <v>17</v>
      </c>
      <c r="W42" s="775">
        <f t="shared" si="14"/>
        <v>102</v>
      </c>
      <c r="X42" s="1813"/>
      <c r="Y42" s="3856"/>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54"/>
      <c r="Q43" s="1810" t="str">
        <f t="shared" si="11"/>
        <v>内部装修维护情况</v>
      </c>
      <c r="R43" s="774" t="s">
        <v>17</v>
      </c>
      <c r="S43" s="775">
        <f t="shared" si="12"/>
        <v>100</v>
      </c>
      <c r="T43" s="774" t="s">
        <v>17</v>
      </c>
      <c r="U43" s="775">
        <f t="shared" si="13"/>
        <v>100</v>
      </c>
      <c r="V43" s="774" t="s">
        <v>17</v>
      </c>
      <c r="W43" s="775">
        <f t="shared" si="14"/>
        <v>100</v>
      </c>
      <c r="X43" s="1813"/>
      <c r="Y43" s="3856"/>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54"/>
      <c r="Q44" s="1795">
        <f t="shared" si="11"/>
        <v>111</v>
      </c>
      <c r="R44" s="770" t="s">
        <v>17</v>
      </c>
      <c r="S44" s="771">
        <f t="shared" si="12"/>
        <v>100</v>
      </c>
      <c r="T44" s="770" t="s">
        <v>17</v>
      </c>
      <c r="U44" s="771">
        <f t="shared" si="13"/>
        <v>100</v>
      </c>
      <c r="V44" s="770" t="s">
        <v>17</v>
      </c>
      <c r="W44" s="771">
        <f t="shared" si="14"/>
        <v>100</v>
      </c>
      <c r="X44" s="772"/>
      <c r="Y44" s="3856"/>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54"/>
      <c r="Q45" s="1810">
        <f t="shared" si="11"/>
        <v>111</v>
      </c>
      <c r="R45" s="774" t="s">
        <v>17</v>
      </c>
      <c r="S45" s="775">
        <f t="shared" si="12"/>
        <v>100</v>
      </c>
      <c r="T45" s="774" t="s">
        <v>17</v>
      </c>
      <c r="U45" s="775">
        <f t="shared" si="13"/>
        <v>100</v>
      </c>
      <c r="V45" s="774" t="s">
        <v>17</v>
      </c>
      <c r="W45" s="775">
        <f t="shared" si="14"/>
        <v>100</v>
      </c>
      <c r="X45" s="1813"/>
      <c r="Y45" s="3856"/>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55"/>
      <c r="Q46" s="1810">
        <f t="shared" si="11"/>
        <v>111</v>
      </c>
      <c r="R46" s="774" t="s">
        <v>17</v>
      </c>
      <c r="S46" s="775">
        <f t="shared" si="12"/>
        <v>100</v>
      </c>
      <c r="T46" s="774" t="s">
        <v>17</v>
      </c>
      <c r="U46" s="775">
        <f t="shared" si="13"/>
        <v>100</v>
      </c>
      <c r="V46" s="774" t="s">
        <v>17</v>
      </c>
      <c r="W46" s="775">
        <f t="shared" si="14"/>
        <v>100</v>
      </c>
      <c r="X46" s="1813"/>
      <c r="Y46" s="3857"/>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49" t="str">
        <f>A47</f>
        <v>成交单价（元/平方米）</v>
      </c>
      <c r="Q47" s="3849"/>
      <c r="R47" s="3880">
        <f>E47</f>
        <v>46000</v>
      </c>
      <c r="S47" s="3880"/>
      <c r="T47" s="3880">
        <f>G47</f>
        <v>47000</v>
      </c>
      <c r="U47" s="3880"/>
      <c r="V47" s="3880">
        <f>I47</f>
        <v>48000</v>
      </c>
      <c r="W47" s="3880"/>
      <c r="X47" s="759"/>
      <c r="Y47" s="781"/>
      <c r="Z47" s="759"/>
      <c r="AA47" s="759"/>
      <c r="AB47" s="759"/>
      <c r="AC47" s="759"/>
    </row>
    <row r="48" spans="1:29" ht="15.75" thickBot="1">
      <c r="A48" s="486" t="s">
        <v>2670</v>
      </c>
      <c r="B48" s="487"/>
      <c r="C48" s="1412">
        <f>R49</f>
        <v>56894</v>
      </c>
      <c r="D48" s="1413"/>
      <c r="E48" s="1414">
        <f>R48</f>
        <v>56429</v>
      </c>
      <c r="F48" s="1414"/>
      <c r="G48" s="1412">
        <f>T48</f>
        <v>56525</v>
      </c>
      <c r="H48" s="1413"/>
      <c r="I48" s="1414">
        <f>V48</f>
        <v>57728</v>
      </c>
      <c r="J48" s="1413"/>
      <c r="K48" s="784"/>
      <c r="L48" s="1142"/>
      <c r="M48" s="1143"/>
      <c r="N48" s="1130"/>
      <c r="O48" s="1143"/>
      <c r="P48" s="3849" t="str">
        <f>A48</f>
        <v>比较价值（元/平方米）</v>
      </c>
      <c r="Q48" s="3849"/>
      <c r="R48" s="3850">
        <f>IF(F1="售价",ROUND(PRODUCT(R47,AA7:AA46),0),ROUND(PRODUCT(R47,AA7:AA46),1))</f>
        <v>56429</v>
      </c>
      <c r="S48" s="3850"/>
      <c r="T48" s="3850">
        <f>IF(F1="售价",ROUND(PRODUCT(T47,AB7:AB46),0),ROUND(PRODUCT(T47,AB7:AB46),1))</f>
        <v>56525</v>
      </c>
      <c r="U48" s="3850"/>
      <c r="V48" s="3850">
        <f>IF(F1="售价",ROUND(PRODUCT(V47,AC7:AC46),0),ROUND(PRODUCT(V47,AC7:AC46),1))</f>
        <v>57728</v>
      </c>
      <c r="W48" s="3850"/>
      <c r="X48" s="759"/>
      <c r="Y48" s="759"/>
      <c r="Z48" s="759"/>
      <c r="AA48" s="759"/>
      <c r="AB48" s="759"/>
      <c r="AC48" s="759"/>
    </row>
    <row r="49" spans="1:29" ht="15.75" thickBot="1">
      <c r="A49" s="492" t="s">
        <v>2671</v>
      </c>
      <c r="B49" s="493"/>
      <c r="C49" s="1416">
        <f>R49</f>
        <v>56894</v>
      </c>
      <c r="D49" s="1416"/>
      <c r="E49" s="1416"/>
      <c r="F49" s="1416"/>
      <c r="G49" s="1416"/>
      <c r="H49" s="1416"/>
      <c r="I49" s="1416"/>
      <c r="J49" s="1416"/>
      <c r="K49" s="785"/>
      <c r="L49" s="1142"/>
      <c r="M49" s="1143"/>
      <c r="N49" s="1130"/>
      <c r="O49" s="1143"/>
      <c r="P49" s="3846" t="str">
        <f>A49</f>
        <v>估价对象XX用房的比较价值（楼面单价，元/平方米）</v>
      </c>
      <c r="Q49" s="3847"/>
      <c r="R49" s="3848">
        <f>IF(F1="售价",ROUND(AVERAGE(R48:V48),0),ROUND(AVERAGE(R48:V48),1))</f>
        <v>56894</v>
      </c>
      <c r="S49" s="3848"/>
      <c r="T49" s="3848"/>
      <c r="U49" s="3848"/>
      <c r="V49" s="3848"/>
      <c r="W49" s="384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0.22671739130434787</v>
      </c>
      <c r="F52" s="500" t="str">
        <f>IF(OR(E52&gt;=0.3,E52&lt;=-0.3),"超过30%","")</f>
        <v/>
      </c>
      <c r="G52" s="499">
        <f>IF(G47&lt;G48,G48/G47-1,G47/G48-1)</f>
        <v>0.20265957446808502</v>
      </c>
      <c r="H52" s="500" t="str">
        <f>IF(OR(G52&gt;=0.3,G52&lt;=-0.3),"超过30%","")</f>
        <v/>
      </c>
      <c r="I52" s="499">
        <f>IF(I47&lt;I48,I48/I47-1,I47/I48-1)</f>
        <v>0.20266666666666677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1.7012529018767264E-3</v>
      </c>
      <c r="F53" s="500" t="str">
        <f>IF(OR(E53&gt;=0.2,E53&lt;=-0.2),"超过20%","")</f>
        <v/>
      </c>
      <c r="G53" s="499">
        <f>IF(G48&lt;I48,I48/G48-1,G48/I48-1)</f>
        <v>2.1282618310482171E-2</v>
      </c>
      <c r="H53" s="500" t="str">
        <f>IF(OR(G53&gt;=0.2,G53&lt;=-0.2),"超过20%","")</f>
        <v/>
      </c>
      <c r="I53" s="499">
        <f>IF(I48&lt;E48,E48/I48-1,I48/E48-1)</f>
        <v>2.3020078328519045E-2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9"/>
      <c r="Q85" s="504"/>
    </row>
    <row r="86" spans="1:17" s="117" customFormat="1" ht="15.75" thickTop="1">
      <c r="A86" s="579"/>
      <c r="B86" s="538" t="s">
        <v>2681</v>
      </c>
      <c r="C86" s="3582" t="s">
        <v>3792</v>
      </c>
      <c r="D86" s="3582" t="s">
        <v>3793</v>
      </c>
      <c r="E86" s="3582" t="s">
        <v>3794</v>
      </c>
      <c r="F86" s="3582" t="s">
        <v>3795</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2" t="s">
        <v>3796</v>
      </c>
      <c r="D88" s="3582" t="s">
        <v>3797</v>
      </c>
      <c r="E88" s="3582" t="s">
        <v>3798</v>
      </c>
      <c r="F88" s="3585" t="s">
        <v>3799</v>
      </c>
      <c r="G88" s="3582" t="s">
        <v>3800</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2" t="s">
        <v>3802</v>
      </c>
      <c r="D90" s="3582" t="s">
        <v>3803</v>
      </c>
      <c r="E90" s="3582" t="s">
        <v>3804</v>
      </c>
      <c r="F90" s="3582" t="s">
        <v>3799</v>
      </c>
      <c r="G90" s="3582" t="s">
        <v>3800</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3805</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4" t="s">
        <v>3789</v>
      </c>
      <c r="D100" s="3584" t="s">
        <v>3790</v>
      </c>
      <c r="E100" s="3584" t="s">
        <v>3791</v>
      </c>
      <c r="F100" s="3584" t="s">
        <v>3809</v>
      </c>
      <c r="G100" s="3584" t="s">
        <v>3811</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2" t="s">
        <v>3788</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2" t="s">
        <v>3779</v>
      </c>
      <c r="D107" s="3582" t="s">
        <v>3781</v>
      </c>
      <c r="E107" s="3582" t="s">
        <v>3783</v>
      </c>
      <c r="F107" s="3583" t="s">
        <v>3777</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9"/>
      <c r="Q111" s="504"/>
    </row>
    <row r="112" spans="1:17" s="471" customFormat="1" ht="15" thickTop="1">
      <c r="A112" s="593"/>
      <c r="B112" s="538" t="s">
        <v>2619</v>
      </c>
      <c r="C112" s="3582" t="s">
        <v>3787</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2" t="s">
        <v>3785</v>
      </c>
      <c r="D114" s="3582" t="s">
        <v>3786</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2" t="s">
        <v>3773</v>
      </c>
      <c r="D116" s="3582" t="s">
        <v>3775</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3" t="s">
        <v>3776</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2" t="s">
        <v>3779</v>
      </c>
      <c r="D122" s="3582" t="s">
        <v>3781</v>
      </c>
      <c r="E122" s="3582" t="s">
        <v>3783</v>
      </c>
      <c r="F122" s="3583" t="s">
        <v>3777</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估价对象为出让国有建设用地使用权及在建建筑物房地产，为所有。根据《国有土地使用证》[]，估价对象（分摊）出让国有建设用地使用权面积为2087.48平方米，建筑面积为11000.49平方米。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居住、综合），该项目尚在开发建设中。根据《国有土地使用证》[]，估价对象（分摊）出让国有建设用地使用权面积为2087.48平方米，规划建筑面积为11000.49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本次评估采用的主估价方法为成本法和基准地价系数修正法。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892" t="s">
        <v>1404</v>
      </c>
      <c r="C6" s="1295" t="e">
        <f ca="1">ROUND(F6*F8*F7*(1-F9)/10000,0)</f>
        <v>#N/A</v>
      </c>
      <c r="D6" s="164" t="s">
        <v>3034</v>
      </c>
      <c r="E6" s="347" t="s">
        <v>1406</v>
      </c>
      <c r="F6" s="348" t="e">
        <f ca="1">INDIRECT("'数据-取费表'!u"&amp;$G$1)</f>
        <v>#N/A</v>
      </c>
      <c r="G6" s="1851"/>
      <c r="H6" s="1290" t="s">
        <v>1035</v>
      </c>
      <c r="I6" s="3892" t="s">
        <v>1404</v>
      </c>
      <c r="J6" s="346" t="e">
        <f ca="1">ROUND(M6*M8*M7*(1-M9)/10000,0)</f>
        <v>#N/A</v>
      </c>
      <c r="K6" s="164" t="s">
        <v>3033</v>
      </c>
      <c r="L6" s="347" t="s">
        <v>1406</v>
      </c>
      <c r="M6" s="348" t="e">
        <f ca="1">INDIRECT("'数据-取费表'!z"&amp;$G$1)</f>
        <v>#N/A</v>
      </c>
    </row>
    <row r="7" spans="1:37" ht="18" customHeight="1">
      <c r="A7" s="1294"/>
      <c r="B7" s="3893"/>
      <c r="C7" s="1296"/>
      <c r="D7" s="352"/>
      <c r="E7" s="2951" t="s">
        <v>1407</v>
      </c>
      <c r="F7" s="348" t="e">
        <f ca="1">IF(INDIRECT("'数据-取费表'!ah"&amp;$G$1)="",INDIRECT("'数据-取费表'!k"&amp;$G$1),INDIRECT("'数据-取费表'!ah"&amp;$G$1))</f>
        <v>#N/A</v>
      </c>
      <c r="G7" s="1851"/>
      <c r="H7" s="349"/>
      <c r="I7" s="3893"/>
      <c r="J7" s="351"/>
      <c r="K7" s="352"/>
      <c r="L7" s="347" t="s">
        <v>1407</v>
      </c>
      <c r="M7" s="348" t="e">
        <f ca="1">F7</f>
        <v>#N/A</v>
      </c>
    </row>
    <row r="8" spans="1:37" ht="18" customHeight="1">
      <c r="A8" s="349"/>
      <c r="B8" s="3893"/>
      <c r="C8" s="351"/>
      <c r="D8" s="352"/>
      <c r="E8" s="347" t="s">
        <v>1408</v>
      </c>
      <c r="F8" s="348" t="e">
        <f ca="1">INDIRECT("'数据-取费表'!ai"&amp;$G$1)</f>
        <v>#N/A</v>
      </c>
      <c r="G8" s="1851"/>
      <c r="H8" s="349"/>
      <c r="I8" s="3893"/>
      <c r="J8" s="351"/>
      <c r="K8" s="352"/>
      <c r="L8" s="347" t="s">
        <v>1408</v>
      </c>
      <c r="M8" s="348" t="e">
        <f ca="1">INDIRECT("'数据-取费表'!ai"&amp;$G$1)</f>
        <v>#N/A</v>
      </c>
    </row>
    <row r="9" spans="1:37" ht="18" customHeight="1">
      <c r="A9" s="349"/>
      <c r="B9" s="3894"/>
      <c r="C9" s="351"/>
      <c r="D9" s="352"/>
      <c r="E9" s="347" t="s">
        <v>1409</v>
      </c>
      <c r="F9" s="357" t="e">
        <f ca="1">INDIRECT("'数据-取费表'!w"&amp;$G$1)</f>
        <v>#N/A</v>
      </c>
      <c r="G9" s="1851"/>
      <c r="H9" s="349"/>
      <c r="I9" s="3894"/>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3030</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4" t="s">
        <v>1420</v>
      </c>
      <c r="E14" s="2953"/>
      <c r="F14" s="364"/>
      <c r="G14" s="1851"/>
      <c r="H14" s="1200" t="s">
        <v>1035</v>
      </c>
      <c r="I14" s="347" t="s">
        <v>1421</v>
      </c>
      <c r="J14" s="24" t="e">
        <f ca="1">C29</f>
        <v>#N/A</v>
      </c>
      <c r="K14" s="2950"/>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6"/>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9"/>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t="e">
        <f ca="1">ROUND(J14*M22,1)</f>
        <v>#N/A</v>
      </c>
      <c r="K22" s="2955"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2955"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6"/>
      <c r="F30" s="1293"/>
      <c r="G30" s="1851"/>
      <c r="H30" s="745"/>
      <c r="I30" s="746"/>
      <c r="J30" s="747"/>
      <c r="K30" s="748"/>
      <c r="L30" s="749"/>
      <c r="M30" s="750"/>
    </row>
    <row r="31" spans="1:37" ht="18" customHeight="1">
      <c r="A31" s="1200" t="s">
        <v>1035</v>
      </c>
      <c r="B31" s="347" t="s">
        <v>1431</v>
      </c>
      <c r="C31" s="24" t="e">
        <f ca="1">ROUND(IF(项目基本情况!B11="自然人",C5*F31,C32+C33+C34),1)</f>
        <v>#N/A</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5"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5" t="s">
        <v>1456</v>
      </c>
      <c r="E37" s="347" t="s">
        <v>1457</v>
      </c>
      <c r="F37" s="376" t="e">
        <f ca="1">INDIRECT("'数据-取费表'!Al"&amp;$G$1)</f>
        <v>#N/A</v>
      </c>
      <c r="G37" s="1851"/>
      <c r="H37" s="1859"/>
      <c r="I37" s="1860"/>
      <c r="J37" s="1861"/>
      <c r="K37" s="751"/>
      <c r="L37" s="1859"/>
      <c r="M37" s="1859"/>
    </row>
    <row r="38" spans="1:18" ht="18" customHeight="1" thickBot="1">
      <c r="A38" s="1338" t="s">
        <v>1393</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8"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3033</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t="e">
        <f ca="1">IF(M47="住宅",J51,IF(D1="——",MIN(J51,L48),IF(D1="在建（套用方法）",MIN(J51,L48-'数据-取费表'!B24),IF(D1="土地（套用方法）",MIN(J51,L48-'数据-取费表'!B20)))))</f>
        <v>#N/A</v>
      </c>
      <c r="K53" s="3895" t="s">
        <v>1550</v>
      </c>
      <c r="L53" s="3896"/>
      <c r="O53" s="1884" t="s">
        <v>1046</v>
      </c>
      <c r="P53" s="1885" t="s">
        <v>1551</v>
      </c>
      <c r="Q53" s="1886" t="e">
        <f ca="1">Q47+Q48</f>
        <v>#N/A</v>
      </c>
      <c r="R53" s="1886" t="s">
        <v>1047</v>
      </c>
    </row>
    <row r="54" spans="1:18" s="1842" customFormat="1" ht="13.5" thickBot="1">
      <c r="A54" s="1405"/>
      <c r="B54" s="1825" t="s">
        <v>1389</v>
      </c>
      <c r="C54" s="1177"/>
      <c r="D54" s="1824"/>
      <c r="E54" s="295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1445</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G21" sqref="G21"/>
    </sheetView>
  </sheetViews>
  <sheetFormatPr defaultRowHeight="13.5"/>
  <cols>
    <col min="1" max="1" width="10.5" style="3327" customWidth="1"/>
    <col min="2" max="2" width="15.75" style="3327" customWidth="1"/>
    <col min="3" max="3" width="15.625" style="3327" customWidth="1"/>
    <col min="4" max="4" width="12.25" style="3327" customWidth="1"/>
    <col min="5" max="5" width="14.375" style="3327" customWidth="1"/>
    <col min="6" max="6" width="12.25" style="3327" customWidth="1"/>
    <col min="7" max="7" width="14.5" style="3327" customWidth="1"/>
    <col min="8" max="8" width="12.25" style="3327" customWidth="1"/>
    <col min="9" max="9" width="14.5" style="3327" customWidth="1"/>
    <col min="10" max="10" width="12.25" style="3327" customWidth="1"/>
    <col min="11" max="11" width="12.25" style="3578" customWidth="1"/>
    <col min="12" max="12" width="12.25" style="3579" customWidth="1"/>
    <col min="13" max="15" width="12.25" style="3327" customWidth="1"/>
    <col min="16" max="16" width="4.75" style="3588" customWidth="1"/>
    <col min="17" max="17" width="19.5" style="3327" customWidth="1"/>
    <col min="18" max="22" width="6.125" style="3327" customWidth="1"/>
    <col min="23" max="23" width="5.75" style="3327" customWidth="1"/>
    <col min="24" max="24" width="4.25" style="3327" customWidth="1"/>
    <col min="25" max="25" width="3.5" style="3327" customWidth="1"/>
    <col min="26" max="26" width="19.75" style="3327" customWidth="1"/>
    <col min="27" max="28" width="9.375" style="3327" customWidth="1"/>
    <col min="29" max="16384" width="9" style="3327"/>
  </cols>
  <sheetData>
    <row r="1" spans="1:29" s="3304" customFormat="1" ht="28.5" customHeight="1" thickBot="1">
      <c r="A1" s="3296" t="s">
        <v>3686</v>
      </c>
      <c r="B1" s="3640" t="s">
        <v>184</v>
      </c>
      <c r="C1" s="3639" t="s">
        <v>3926</v>
      </c>
      <c r="D1" s="3298" t="s">
        <v>3925</v>
      </c>
      <c r="E1" s="3301"/>
      <c r="F1" s="3299" t="s">
        <v>3924</v>
      </c>
      <c r="G1" s="3300" t="s">
        <v>3688</v>
      </c>
      <c r="H1" s="3301"/>
      <c r="I1" s="3301"/>
      <c r="J1" s="3301"/>
      <c r="K1" s="3302"/>
      <c r="L1" s="3303"/>
      <c r="M1" s="3297"/>
      <c r="N1" s="3297"/>
      <c r="O1" s="3297"/>
      <c r="P1" s="3639"/>
      <c r="Q1" s="3639"/>
      <c r="R1" s="3639"/>
      <c r="S1" s="3639"/>
      <c r="T1" s="3639"/>
      <c r="U1" s="3639"/>
      <c r="V1" s="3639"/>
      <c r="W1" s="3639"/>
      <c r="X1" s="3639"/>
      <c r="Y1" s="3639"/>
      <c r="Z1" s="3639"/>
      <c r="AA1" s="3639"/>
      <c r="AB1" s="3639"/>
      <c r="AC1" s="3638"/>
    </row>
    <row r="2" spans="1:29" s="3314" customFormat="1" ht="28.5" customHeight="1" thickTop="1">
      <c r="A2" s="3305" t="s">
        <v>3689</v>
      </c>
      <c r="B2" s="3306" t="e">
        <f>IF(C2="——",ROUND(C50*D3/10000,0),ROUND(C50*D3/10000,0)-D2)</f>
        <v>#VALUE!</v>
      </c>
      <c r="C2" s="3307" t="s">
        <v>70</v>
      </c>
      <c r="D2" s="3308" t="e">
        <f ca="1">SUMIF(INDIRECT("'"&amp;F2&amp;"'"&amp;"!A:A"),"承租人权益价值",INDIRECT("'"&amp;F2&amp;"'"&amp;"!c:c"))</f>
        <v>#REF!</v>
      </c>
      <c r="E2" s="3309" t="s">
        <v>3690</v>
      </c>
      <c r="F2" s="3310" t="s">
        <v>3691</v>
      </c>
      <c r="G2" s="3311"/>
      <c r="H2" s="3311"/>
      <c r="I2" s="3311"/>
      <c r="J2" s="3311"/>
      <c r="K2" s="3311"/>
      <c r="L2" s="3312"/>
      <c r="M2" s="3313"/>
      <c r="N2" s="3313"/>
      <c r="O2" s="3313"/>
      <c r="P2" s="3637"/>
      <c r="Q2" s="3637"/>
      <c r="R2" s="3637"/>
      <c r="S2" s="3637"/>
      <c r="T2" s="3637"/>
      <c r="U2" s="3637"/>
      <c r="V2" s="3637"/>
      <c r="W2" s="3637"/>
      <c r="X2" s="3637"/>
      <c r="Y2" s="3637"/>
      <c r="Z2" s="3637"/>
      <c r="AA2" s="3637"/>
      <c r="AB2" s="3637"/>
      <c r="AC2" s="3636"/>
    </row>
    <row r="3" spans="1:29" s="3314" customFormat="1" ht="28.5" customHeight="1" thickBot="1">
      <c r="A3" s="2980" t="s">
        <v>3692</v>
      </c>
      <c r="B3" s="3315">
        <f>IF(C2="——",C50,ROUND(B2*10000/D3,0))</f>
        <v>6.5</v>
      </c>
      <c r="C3" s="3316" t="s">
        <v>3693</v>
      </c>
      <c r="D3" s="3317" t="e">
        <f>IF(D1="",'[1]数据-汇总表'!E3,SUMIF('[1]数据-汇总表'!$C19:$C33,D1,'[1]数据-汇总表'!$E19:$E33))</f>
        <v>#VALUE!</v>
      </c>
      <c r="E3" s="3318"/>
      <c r="F3" s="3319"/>
      <c r="G3" s="3311"/>
      <c r="H3" s="3311"/>
      <c r="I3" s="3311"/>
      <c r="J3" s="3311"/>
      <c r="K3" s="3320"/>
      <c r="L3" s="3312"/>
      <c r="M3" s="3313"/>
      <c r="N3" s="3313"/>
      <c r="O3" s="3313"/>
      <c r="P3" s="3637"/>
      <c r="Q3" s="3637"/>
      <c r="R3" s="3637"/>
      <c r="S3" s="3637"/>
      <c r="T3" s="3637"/>
      <c r="U3" s="3637"/>
      <c r="V3" s="3637"/>
      <c r="W3" s="3637"/>
      <c r="X3" s="3637"/>
      <c r="Y3" s="3637"/>
      <c r="Z3" s="3637"/>
      <c r="AA3" s="3637"/>
      <c r="AB3" s="3637"/>
      <c r="AC3" s="3636"/>
    </row>
    <row r="4" spans="1:29">
      <c r="A4" s="3321" t="s">
        <v>3694</v>
      </c>
      <c r="B4" s="3322"/>
      <c r="C4" s="3976" t="s">
        <v>3695</v>
      </c>
      <c r="D4" s="3977"/>
      <c r="E4" s="3978" t="s">
        <v>3696</v>
      </c>
      <c r="F4" s="3979"/>
      <c r="G4" s="3976" t="s">
        <v>3697</v>
      </c>
      <c r="H4" s="3977"/>
      <c r="I4" s="3976" t="s">
        <v>3698</v>
      </c>
      <c r="J4" s="3977"/>
      <c r="K4" s="3323" t="s">
        <v>3699</v>
      </c>
      <c r="L4" s="3324"/>
      <c r="M4" s="3325"/>
      <c r="N4" s="3325"/>
      <c r="O4" s="3325"/>
      <c r="P4" s="3980" t="s">
        <v>3694</v>
      </c>
      <c r="Q4" s="3981"/>
      <c r="R4" s="3997" t="s">
        <v>3696</v>
      </c>
      <c r="S4" s="3998"/>
      <c r="T4" s="3997" t="s">
        <v>3697</v>
      </c>
      <c r="U4" s="3998"/>
      <c r="V4" s="4006" t="s">
        <v>3698</v>
      </c>
      <c r="W4" s="4006"/>
      <c r="X4" s="3635"/>
      <c r="Y4" s="3997" t="s">
        <v>3694</v>
      </c>
      <c r="Z4" s="3998"/>
      <c r="AA4" s="4008" t="s">
        <v>3696</v>
      </c>
      <c r="AB4" s="4008" t="s">
        <v>3697</v>
      </c>
      <c r="AC4" s="4001" t="s">
        <v>3698</v>
      </c>
    </row>
    <row r="5" spans="1:29">
      <c r="A5" s="3328"/>
      <c r="B5" s="3329"/>
      <c r="C5" s="3988" t="s">
        <v>3923</v>
      </c>
      <c r="D5" s="3989"/>
      <c r="E5" s="3986" t="s">
        <v>3927</v>
      </c>
      <c r="F5" s="3987"/>
      <c r="G5" s="3988" t="s">
        <v>3928</v>
      </c>
      <c r="H5" s="3989"/>
      <c r="I5" s="3988" t="s">
        <v>3929</v>
      </c>
      <c r="J5" s="3989"/>
      <c r="K5" s="3323"/>
      <c r="L5" s="3324"/>
      <c r="M5" s="3325"/>
      <c r="N5" s="3325"/>
      <c r="O5" s="3325"/>
      <c r="P5" s="3982"/>
      <c r="Q5" s="3983"/>
      <c r="R5" s="3999"/>
      <c r="S5" s="4000"/>
      <c r="T5" s="3999"/>
      <c r="U5" s="4000"/>
      <c r="V5" s="4007"/>
      <c r="W5" s="4007"/>
      <c r="X5" s="3326"/>
      <c r="Y5" s="3999"/>
      <c r="Z5" s="4000"/>
      <c r="AA5" s="4009"/>
      <c r="AB5" s="4009"/>
      <c r="AC5" s="4002"/>
    </row>
    <row r="6" spans="1:29" ht="14.25" thickBot="1">
      <c r="A6" s="3330"/>
      <c r="B6" s="3331"/>
      <c r="C6" s="3990" t="s">
        <v>3701</v>
      </c>
      <c r="D6" s="3991"/>
      <c r="E6" s="3992" t="s">
        <v>3932</v>
      </c>
      <c r="F6" s="3993"/>
      <c r="G6" s="3990" t="s">
        <v>3930</v>
      </c>
      <c r="H6" s="3991"/>
      <c r="I6" s="3990" t="s">
        <v>3931</v>
      </c>
      <c r="J6" s="3991"/>
      <c r="K6" s="3323" t="s">
        <v>3702</v>
      </c>
      <c r="L6" s="3324"/>
      <c r="M6" s="3325"/>
      <c r="N6" s="3325"/>
      <c r="O6" s="3325"/>
      <c r="P6" s="3984"/>
      <c r="Q6" s="3985"/>
      <c r="R6" s="3999"/>
      <c r="S6" s="4000"/>
      <c r="T6" s="4004"/>
      <c r="U6" s="4005"/>
      <c r="V6" s="4007"/>
      <c r="W6" s="4007"/>
      <c r="X6" s="3326"/>
      <c r="Y6" s="4004"/>
      <c r="Z6" s="4005"/>
      <c r="AA6" s="4010"/>
      <c r="AB6" s="4010"/>
      <c r="AC6" s="4003"/>
    </row>
    <row r="7" spans="1:29" s="3344" customFormat="1" ht="15" thickBot="1">
      <c r="A7" s="3332" t="s">
        <v>3703</v>
      </c>
      <c r="B7" s="3333"/>
      <c r="C7" s="3634">
        <f>'数据-取费表'!B2</f>
        <v>43110</v>
      </c>
      <c r="D7" s="3334">
        <v>100</v>
      </c>
      <c r="E7" s="3335">
        <v>43110</v>
      </c>
      <c r="F7" s="3336">
        <f>SUMIF(59:59,YEAR(E7)&amp;"-"&amp;MONTH(E7),60:60)</f>
        <v>100</v>
      </c>
      <c r="G7" s="3335">
        <v>43110</v>
      </c>
      <c r="H7" s="3334">
        <f>SUMIF(59:59,YEAR(G7)&amp;"-"&amp;MONTH(G7),60:60)</f>
        <v>100</v>
      </c>
      <c r="I7" s="3335">
        <v>43110</v>
      </c>
      <c r="J7" s="3334">
        <f>SUMIF(59:59,YEAR(I7)&amp;"-"&amp;MONTH(I7),60:60)</f>
        <v>100</v>
      </c>
      <c r="K7" s="3337"/>
      <c r="L7" s="3338"/>
      <c r="M7" s="3339"/>
      <c r="N7" s="3339"/>
      <c r="O7" s="3339"/>
      <c r="P7" s="4011" t="s">
        <v>3703</v>
      </c>
      <c r="Q7" s="4012"/>
      <c r="R7" s="3340" t="s">
        <v>3704</v>
      </c>
      <c r="S7" s="3341">
        <f t="shared" ref="S7:S15" si="0">F7</f>
        <v>100</v>
      </c>
      <c r="T7" s="3340" t="s">
        <v>3704</v>
      </c>
      <c r="U7" s="3341">
        <f t="shared" ref="U7:U15" si="1">H7</f>
        <v>100</v>
      </c>
      <c r="V7" s="3340" t="s">
        <v>3704</v>
      </c>
      <c r="W7" s="3341">
        <f t="shared" ref="W7:W15" si="2">J7</f>
        <v>100</v>
      </c>
      <c r="X7" s="3342"/>
      <c r="Y7" s="3995" t="s">
        <v>3703</v>
      </c>
      <c r="Z7" s="3996"/>
      <c r="AA7" s="3343">
        <f t="shared" ref="AA7:AA15" si="3">D7/F7</f>
        <v>1</v>
      </c>
      <c r="AB7" s="3343">
        <f t="shared" ref="AB7:AB15" si="4">D7/H7</f>
        <v>1</v>
      </c>
      <c r="AC7" s="3613">
        <f t="shared" ref="AC7:AC15" si="5">D7/J7</f>
        <v>1</v>
      </c>
    </row>
    <row r="8" spans="1:29" s="3344" customFormat="1" ht="15" thickBot="1">
      <c r="A8" s="3332" t="s">
        <v>3705</v>
      </c>
      <c r="B8" s="3333"/>
      <c r="C8" s="3345" t="s">
        <v>3706</v>
      </c>
      <c r="D8" s="3334">
        <v>100</v>
      </c>
      <c r="E8" s="3345" t="s">
        <v>3050</v>
      </c>
      <c r="F8" s="3336">
        <f>SUMIF(62:62,E8,63:63)-SUMIF(62:62,C8,63:63)+100</f>
        <v>100</v>
      </c>
      <c r="G8" s="3345" t="s">
        <v>3706</v>
      </c>
      <c r="H8" s="3334">
        <f>SUMIF(62:62,G8,63:63)-SUMIF(62:62,C8,63:63)+100</f>
        <v>100</v>
      </c>
      <c r="I8" s="3345" t="s">
        <v>3706</v>
      </c>
      <c r="J8" s="3334">
        <f>SUMIF(62:62,I8,63:63)-SUMIF(62:62,C8,63:63)+100</f>
        <v>100</v>
      </c>
      <c r="K8" s="3337"/>
      <c r="L8" s="3338"/>
      <c r="M8" s="3339"/>
      <c r="N8" s="3339"/>
      <c r="O8" s="3339"/>
      <c r="P8" s="4011" t="s">
        <v>3705</v>
      </c>
      <c r="Q8" s="3996"/>
      <c r="R8" s="3340" t="s">
        <v>3704</v>
      </c>
      <c r="S8" s="3341">
        <f t="shared" si="0"/>
        <v>100</v>
      </c>
      <c r="T8" s="3340" t="s">
        <v>3704</v>
      </c>
      <c r="U8" s="3341">
        <f t="shared" si="1"/>
        <v>100</v>
      </c>
      <c r="V8" s="3340" t="s">
        <v>3704</v>
      </c>
      <c r="W8" s="3341">
        <f t="shared" si="2"/>
        <v>100</v>
      </c>
      <c r="X8" s="3342"/>
      <c r="Y8" s="3995" t="s">
        <v>3705</v>
      </c>
      <c r="Z8" s="3996"/>
      <c r="AA8" s="3343">
        <f t="shared" si="3"/>
        <v>1</v>
      </c>
      <c r="AB8" s="3343">
        <f t="shared" si="4"/>
        <v>1</v>
      </c>
      <c r="AC8" s="3613">
        <f t="shared" si="5"/>
        <v>1</v>
      </c>
    </row>
    <row r="9" spans="1:29" s="3344" customFormat="1" ht="14.25">
      <c r="A9" s="3346" t="s">
        <v>3709</v>
      </c>
      <c r="B9" s="3347" t="s">
        <v>3922</v>
      </c>
      <c r="C9" s="3348" t="s">
        <v>3921</v>
      </c>
      <c r="D9" s="3349">
        <v>100</v>
      </c>
      <c r="E9" s="3633" t="s">
        <v>27</v>
      </c>
      <c r="F9" s="3349">
        <f>SUMIF(64:64,E9,65:65)-SUMIF(64:64,C9,65:65)+100</f>
        <v>100</v>
      </c>
      <c r="G9" s="3350" t="s">
        <v>27</v>
      </c>
      <c r="H9" s="3349">
        <f>SUMIF(64:64,G9,65:65)-SUMIF(64:64,C9,65:65)+100</f>
        <v>100</v>
      </c>
      <c r="I9" s="3350" t="s">
        <v>27</v>
      </c>
      <c r="J9" s="3349">
        <f>SUMIF(64:64,I9,65:65)-SUMIF(64:64,C9,65:65)+100</f>
        <v>100</v>
      </c>
      <c r="K9" s="3337"/>
      <c r="L9" s="3338"/>
      <c r="M9" s="3339"/>
      <c r="N9" s="3339"/>
      <c r="O9" s="3339"/>
      <c r="P9" s="3961" t="s">
        <v>3709</v>
      </c>
      <c r="Q9" s="3351" t="str">
        <f t="shared" ref="Q9:Q15" si="6">B9</f>
        <v>用途</v>
      </c>
      <c r="R9" s="3340" t="s">
        <v>3704</v>
      </c>
      <c r="S9" s="3341">
        <f t="shared" si="0"/>
        <v>100</v>
      </c>
      <c r="T9" s="3340" t="s">
        <v>3704</v>
      </c>
      <c r="U9" s="3341">
        <f t="shared" si="1"/>
        <v>100</v>
      </c>
      <c r="V9" s="3340" t="s">
        <v>3704</v>
      </c>
      <c r="W9" s="3341">
        <f t="shared" si="2"/>
        <v>100</v>
      </c>
      <c r="X9" s="3342"/>
      <c r="Y9" s="3994" t="s">
        <v>3709</v>
      </c>
      <c r="Z9" s="3352" t="str">
        <f t="shared" ref="Z9:Z15" si="7">Q9</f>
        <v>用途</v>
      </c>
      <c r="AA9" s="3343">
        <f t="shared" si="3"/>
        <v>1</v>
      </c>
      <c r="AB9" s="3343">
        <f t="shared" si="4"/>
        <v>1</v>
      </c>
      <c r="AC9" s="3613">
        <f t="shared" si="5"/>
        <v>1</v>
      </c>
    </row>
    <row r="10" spans="1:29" s="3362" customFormat="1" ht="27">
      <c r="A10" s="3353"/>
      <c r="B10" s="3354" t="s">
        <v>3710</v>
      </c>
      <c r="C10" s="3355" t="s">
        <v>3920</v>
      </c>
      <c r="D10" s="3356">
        <v>100</v>
      </c>
      <c r="E10" s="3355" t="s">
        <v>3920</v>
      </c>
      <c r="F10" s="3356">
        <f>SUMIF(66:66,E10,67:67)-SUMIF(66:66,C10,67:67)+100</f>
        <v>100</v>
      </c>
      <c r="G10" s="3357" t="s">
        <v>3920</v>
      </c>
      <c r="H10" s="3356">
        <f>SUMIF(66:66,G10,67:67)-SUMIF(66:66,C10,67:67)+100</f>
        <v>100</v>
      </c>
      <c r="I10" s="3355" t="s">
        <v>3920</v>
      </c>
      <c r="J10" s="3356">
        <f>SUMIF(66:66,I10,67:67)-SUMIF(66:66,C10,67:67)+100</f>
        <v>100</v>
      </c>
      <c r="K10" s="3359">
        <v>1</v>
      </c>
      <c r="L10" s="3360"/>
      <c r="M10" s="3361"/>
      <c r="N10" s="3361"/>
      <c r="O10" s="3361"/>
      <c r="P10" s="3961"/>
      <c r="Q10" s="3351" t="str">
        <f t="shared" si="6"/>
        <v>土地使用年限（年）</v>
      </c>
      <c r="R10" s="3340" t="s">
        <v>3704</v>
      </c>
      <c r="S10" s="3341">
        <f t="shared" si="0"/>
        <v>100</v>
      </c>
      <c r="T10" s="3340" t="s">
        <v>3704</v>
      </c>
      <c r="U10" s="3341">
        <f t="shared" si="1"/>
        <v>100</v>
      </c>
      <c r="V10" s="3340" t="s">
        <v>3704</v>
      </c>
      <c r="W10" s="3341">
        <f t="shared" si="2"/>
        <v>100</v>
      </c>
      <c r="X10" s="3342"/>
      <c r="Y10" s="3994"/>
      <c r="Z10" s="3352" t="str">
        <f t="shared" si="7"/>
        <v>土地使用年限（年）</v>
      </c>
      <c r="AA10" s="3343">
        <f t="shared" si="3"/>
        <v>1</v>
      </c>
      <c r="AB10" s="3343">
        <f t="shared" si="4"/>
        <v>1</v>
      </c>
      <c r="AC10" s="3613">
        <f t="shared" si="5"/>
        <v>1</v>
      </c>
    </row>
    <row r="11" spans="1:29" ht="15">
      <c r="A11" s="3363"/>
      <c r="B11" s="3354" t="s">
        <v>3712</v>
      </c>
      <c r="C11" s="3364">
        <v>1</v>
      </c>
      <c r="D11" s="3356">
        <v>100</v>
      </c>
      <c r="E11" s="3364">
        <v>1</v>
      </c>
      <c r="F11" s="3356">
        <f>LOOKUP(E11,69:69,70:70)-LOOKUP(C11,69:69,70:70)+100</f>
        <v>100</v>
      </c>
      <c r="G11" s="3365">
        <v>1</v>
      </c>
      <c r="H11" s="3356">
        <f>LOOKUP(G11,69:69,70:70)-LOOKUP(C11,69:69,70:70)+100</f>
        <v>100</v>
      </c>
      <c r="I11" s="3364">
        <v>1</v>
      </c>
      <c r="J11" s="3356">
        <f>LOOKUP(I11,69:69,70:70)-LOOKUP(C11,69:69,70:70)+100</f>
        <v>100</v>
      </c>
      <c r="K11" s="3359">
        <v>3</v>
      </c>
      <c r="L11" s="3366"/>
      <c r="M11" s="3325"/>
      <c r="N11" s="3325"/>
      <c r="O11" s="3325"/>
      <c r="P11" s="3961"/>
      <c r="Q11" s="3351" t="str">
        <f t="shared" si="6"/>
        <v>容积率</v>
      </c>
      <c r="R11" s="3340" t="s">
        <v>3704</v>
      </c>
      <c r="S11" s="3341">
        <f t="shared" si="0"/>
        <v>100</v>
      </c>
      <c r="T11" s="3340" t="s">
        <v>3704</v>
      </c>
      <c r="U11" s="3341">
        <f t="shared" si="1"/>
        <v>100</v>
      </c>
      <c r="V11" s="3340" t="s">
        <v>3704</v>
      </c>
      <c r="W11" s="3341">
        <f t="shared" si="2"/>
        <v>100</v>
      </c>
      <c r="X11" s="3342"/>
      <c r="Y11" s="3994"/>
      <c r="Z11" s="3352" t="str">
        <f t="shared" si="7"/>
        <v>容积率</v>
      </c>
      <c r="AA11" s="3343">
        <f t="shared" si="3"/>
        <v>1</v>
      </c>
      <c r="AB11" s="3343">
        <f t="shared" si="4"/>
        <v>1</v>
      </c>
      <c r="AC11" s="3613">
        <f t="shared" si="5"/>
        <v>1</v>
      </c>
    </row>
    <row r="12" spans="1:29" s="3344" customFormat="1" ht="14.25">
      <c r="A12" s="3367"/>
      <c r="B12" s="3368">
        <v>111</v>
      </c>
      <c r="C12" s="3369">
        <v>111</v>
      </c>
      <c r="D12" s="3370">
        <v>100</v>
      </c>
      <c r="E12" s="3369">
        <v>111</v>
      </c>
      <c r="F12" s="3356">
        <f>SUMIF(71:71,E12,72:72)-SUMIF(71:71,C12,72:72)+100</f>
        <v>100</v>
      </c>
      <c r="G12" s="3617">
        <v>111</v>
      </c>
      <c r="H12" s="3356">
        <f>SUMIF(71:71,G12,72:72)-SUMIF(71:71,C12,72:72)+100</f>
        <v>100</v>
      </c>
      <c r="I12" s="3369">
        <v>111</v>
      </c>
      <c r="J12" s="3356">
        <f>SUMIF(71:71,I12,72:72)-SUMIF(71:71,C12,72:72)+100</f>
        <v>100</v>
      </c>
      <c r="K12" s="3372"/>
      <c r="L12" s="3338"/>
      <c r="M12" s="3339"/>
      <c r="N12" s="3339"/>
      <c r="O12" s="3339"/>
      <c r="P12" s="3961"/>
      <c r="Q12" s="3351">
        <f t="shared" si="6"/>
        <v>111</v>
      </c>
      <c r="R12" s="3340" t="s">
        <v>3704</v>
      </c>
      <c r="S12" s="3341">
        <f t="shared" si="0"/>
        <v>100</v>
      </c>
      <c r="T12" s="3340" t="s">
        <v>3704</v>
      </c>
      <c r="U12" s="3341">
        <f t="shared" si="1"/>
        <v>100</v>
      </c>
      <c r="V12" s="3340" t="s">
        <v>3704</v>
      </c>
      <c r="W12" s="3341">
        <f t="shared" si="2"/>
        <v>100</v>
      </c>
      <c r="X12" s="3342"/>
      <c r="Y12" s="3994"/>
      <c r="Z12" s="3352">
        <f t="shared" si="7"/>
        <v>111</v>
      </c>
      <c r="AA12" s="3343">
        <f t="shared" si="3"/>
        <v>1</v>
      </c>
      <c r="AB12" s="3343">
        <f t="shared" si="4"/>
        <v>1</v>
      </c>
      <c r="AC12" s="3613">
        <f t="shared" si="5"/>
        <v>1</v>
      </c>
    </row>
    <row r="13" spans="1:29" ht="14.25">
      <c r="A13" s="3363"/>
      <c r="B13" s="3368">
        <v>111</v>
      </c>
      <c r="C13" s="3371">
        <v>111</v>
      </c>
      <c r="D13" s="3373">
        <v>100</v>
      </c>
      <c r="E13" s="3369">
        <v>111</v>
      </c>
      <c r="F13" s="3356">
        <f>SUMIF(73:73,E13,74:74)-SUMIF(73:73,C13,74:74)+100</f>
        <v>100</v>
      </c>
      <c r="G13" s="3617">
        <v>111</v>
      </c>
      <c r="H13" s="3373">
        <f>SUMIF(73:73,G13,74:74)-SUMIF(73:73,C13,74:74)+100</f>
        <v>100</v>
      </c>
      <c r="I13" s="3369">
        <v>111</v>
      </c>
      <c r="J13" s="3373">
        <f>SUMIF(73:73,I13,74:74)-SUMIF(73:73,C13,74:74)+100</f>
        <v>100</v>
      </c>
      <c r="K13" s="3372"/>
      <c r="L13" s="3374"/>
      <c r="M13" s="3325"/>
      <c r="N13" s="3325"/>
      <c r="O13" s="3325"/>
      <c r="P13" s="3961"/>
      <c r="Q13" s="3351">
        <f t="shared" si="6"/>
        <v>111</v>
      </c>
      <c r="R13" s="3340" t="s">
        <v>3704</v>
      </c>
      <c r="S13" s="3341">
        <f t="shared" si="0"/>
        <v>100</v>
      </c>
      <c r="T13" s="3340" t="s">
        <v>3704</v>
      </c>
      <c r="U13" s="3341">
        <f t="shared" si="1"/>
        <v>100</v>
      </c>
      <c r="V13" s="3340" t="s">
        <v>3704</v>
      </c>
      <c r="W13" s="3341">
        <f t="shared" si="2"/>
        <v>100</v>
      </c>
      <c r="X13" s="3342"/>
      <c r="Y13" s="3994"/>
      <c r="Z13" s="3352">
        <f t="shared" si="7"/>
        <v>111</v>
      </c>
      <c r="AA13" s="3343">
        <f t="shared" si="3"/>
        <v>1</v>
      </c>
      <c r="AB13" s="3343">
        <f t="shared" si="4"/>
        <v>1</v>
      </c>
      <c r="AC13" s="3613">
        <f t="shared" si="5"/>
        <v>1</v>
      </c>
    </row>
    <row r="14" spans="1:29" ht="15" thickBot="1">
      <c r="A14" s="3375"/>
      <c r="B14" s="3376">
        <v>111</v>
      </c>
      <c r="C14" s="3377">
        <v>111</v>
      </c>
      <c r="D14" s="3378">
        <v>100</v>
      </c>
      <c r="E14" s="3618">
        <v>111</v>
      </c>
      <c r="F14" s="3378">
        <f>SUMIF(75:75,E14,76:76)-SUMIF(75:75,C14,76:76)+100</f>
        <v>100</v>
      </c>
      <c r="G14" s="3617">
        <v>111</v>
      </c>
      <c r="H14" s="3378">
        <f>SUMIF(75:75,G14,76:76)-SUMIF(75:75,C14,76:76)+100</f>
        <v>100</v>
      </c>
      <c r="I14" s="3369">
        <v>111</v>
      </c>
      <c r="J14" s="3378">
        <f>SUMIF(75:75,I14,76:76)-SUMIF(75:75,C14,76:76)+100</f>
        <v>100</v>
      </c>
      <c r="K14" s="3372"/>
      <c r="L14" s="3374"/>
      <c r="M14" s="3325"/>
      <c r="N14" s="3325"/>
      <c r="O14" s="3325"/>
      <c r="P14" s="3961"/>
      <c r="Q14" s="3351">
        <f t="shared" si="6"/>
        <v>111</v>
      </c>
      <c r="R14" s="3340" t="s">
        <v>3704</v>
      </c>
      <c r="S14" s="3341">
        <f t="shared" si="0"/>
        <v>100</v>
      </c>
      <c r="T14" s="3340" t="s">
        <v>3704</v>
      </c>
      <c r="U14" s="3341">
        <f t="shared" si="1"/>
        <v>100</v>
      </c>
      <c r="V14" s="3340" t="s">
        <v>3704</v>
      </c>
      <c r="W14" s="3341">
        <f t="shared" si="2"/>
        <v>100</v>
      </c>
      <c r="X14" s="3342"/>
      <c r="Y14" s="3994"/>
      <c r="Z14" s="3352">
        <f t="shared" si="7"/>
        <v>111</v>
      </c>
      <c r="AA14" s="3343">
        <f t="shared" si="3"/>
        <v>1</v>
      </c>
      <c r="AB14" s="3343">
        <f t="shared" si="4"/>
        <v>1</v>
      </c>
      <c r="AC14" s="3613">
        <f t="shared" si="5"/>
        <v>1</v>
      </c>
    </row>
    <row r="15" spans="1:29" ht="54">
      <c r="A15" s="3380" t="s">
        <v>3713</v>
      </c>
      <c r="B15" s="3632" t="s">
        <v>3919</v>
      </c>
      <c r="C15" s="3631" t="str">
        <f>估价对象房地状况!C5</f>
        <v>周边办公楼项目较多，入驻率高，办公集聚程度好</v>
      </c>
      <c r="D15" s="3381">
        <v>100</v>
      </c>
      <c r="E15" s="3383"/>
      <c r="F15" s="3381">
        <f>SUMIF(77:77,E16,78:78)-SUMIF(77:77,C16,78:78)+100</f>
        <v>98</v>
      </c>
      <c r="G15" s="3382"/>
      <c r="H15" s="3381">
        <f>SUMIF(77:77,G16,78:78)-SUMIF(77:77,C16,78:78)+100</f>
        <v>98</v>
      </c>
      <c r="I15" s="3382"/>
      <c r="J15" s="3381">
        <f>SUMIF(77:77,I16,78:78)-SUMIF(77:77,C16,78:78)+100</f>
        <v>98</v>
      </c>
      <c r="K15" s="3384">
        <v>2</v>
      </c>
      <c r="L15" s="3374"/>
      <c r="M15" s="3325"/>
      <c r="N15" s="3325"/>
      <c r="O15" s="3325"/>
      <c r="P15" s="3967" t="s">
        <v>3713</v>
      </c>
      <c r="Q15" s="3385" t="str">
        <f t="shared" si="6"/>
        <v>办公集聚程度</v>
      </c>
      <c r="R15" s="3386" t="s">
        <v>3704</v>
      </c>
      <c r="S15" s="3387">
        <f t="shared" si="0"/>
        <v>98</v>
      </c>
      <c r="T15" s="3386" t="s">
        <v>3704</v>
      </c>
      <c r="U15" s="3387">
        <f t="shared" si="1"/>
        <v>98</v>
      </c>
      <c r="V15" s="3386" t="s">
        <v>3704</v>
      </c>
      <c r="W15" s="3387">
        <f t="shared" si="2"/>
        <v>98</v>
      </c>
      <c r="X15" s="3326"/>
      <c r="Y15" s="3969" t="s">
        <v>3713</v>
      </c>
      <c r="Z15" s="3388" t="str">
        <f t="shared" si="7"/>
        <v>办公集聚程度</v>
      </c>
      <c r="AA15" s="3389">
        <f t="shared" si="3"/>
        <v>1.0204081632653061</v>
      </c>
      <c r="AB15" s="3389">
        <f t="shared" si="4"/>
        <v>1.0204081632653061</v>
      </c>
      <c r="AC15" s="3612">
        <f t="shared" si="5"/>
        <v>1.0204081632653061</v>
      </c>
    </row>
    <row r="16" spans="1:29" ht="14.25">
      <c r="A16" s="3363"/>
      <c r="B16" s="3609"/>
      <c r="C16" s="3627" t="s">
        <v>3208</v>
      </c>
      <c r="D16" s="3392"/>
      <c r="E16" s="3391" t="s">
        <v>3205</v>
      </c>
      <c r="F16" s="3392"/>
      <c r="G16" s="3627" t="s">
        <v>3205</v>
      </c>
      <c r="H16" s="3393"/>
      <c r="I16" s="3391" t="s">
        <v>3205</v>
      </c>
      <c r="J16" s="3392"/>
      <c r="K16" s="3394"/>
      <c r="L16" s="3374"/>
      <c r="M16" s="3325"/>
      <c r="N16" s="3325"/>
      <c r="O16" s="3325"/>
      <c r="P16" s="3968"/>
      <c r="Q16" s="3385"/>
      <c r="R16" s="3386"/>
      <c r="S16" s="3387"/>
      <c r="T16" s="3386"/>
      <c r="U16" s="3387"/>
      <c r="V16" s="3386"/>
      <c r="W16" s="3387"/>
      <c r="X16" s="3326"/>
      <c r="Y16" s="3970"/>
      <c r="Z16" s="3388"/>
      <c r="AA16" s="3389">
        <v>1</v>
      </c>
      <c r="AB16" s="3389">
        <v>1</v>
      </c>
      <c r="AC16" s="3612">
        <v>1</v>
      </c>
    </row>
    <row r="17" spans="1:29" ht="67.5">
      <c r="A17" s="3363"/>
      <c r="B17" s="3624" t="s">
        <v>3714</v>
      </c>
      <c r="C17" s="3629" t="str">
        <f>估价对象房地状况!C6</f>
        <v>周边道路状况好、公共交通通达情况好、停车便捷，综合评价交通便捷度好</v>
      </c>
      <c r="D17" s="3393">
        <v>100</v>
      </c>
      <c r="E17" s="3396"/>
      <c r="F17" s="3393">
        <f>SUMIF(79:79,E18,80:80)-SUMIF(79:79,C18,80:80)+100</f>
        <v>97</v>
      </c>
      <c r="G17" s="3395"/>
      <c r="H17" s="3397">
        <f>SUMIF(79:79,G18,80:80)-SUMIF(79:79,C18,80:80)+100</f>
        <v>94</v>
      </c>
      <c r="I17" s="3395"/>
      <c r="J17" s="3397">
        <f>SUMIF(79:79,I18,80:80)-SUMIF(79:79,C18,80:80)+100</f>
        <v>97</v>
      </c>
      <c r="K17" s="3384">
        <v>3</v>
      </c>
      <c r="L17" s="3374"/>
      <c r="M17" s="3325"/>
      <c r="N17" s="3325"/>
      <c r="O17" s="3325"/>
      <c r="P17" s="3968"/>
      <c r="Q17" s="3385" t="str">
        <f>B17</f>
        <v>交通便捷度</v>
      </c>
      <c r="R17" s="3386" t="s">
        <v>3704</v>
      </c>
      <c r="S17" s="3387">
        <f>F17</f>
        <v>97</v>
      </c>
      <c r="T17" s="3386" t="s">
        <v>3704</v>
      </c>
      <c r="U17" s="3387">
        <f>H17</f>
        <v>94</v>
      </c>
      <c r="V17" s="3386" t="s">
        <v>3704</v>
      </c>
      <c r="W17" s="3387">
        <f>J17</f>
        <v>97</v>
      </c>
      <c r="X17" s="3326"/>
      <c r="Y17" s="3970"/>
      <c r="Z17" s="3388" t="str">
        <f>Q17</f>
        <v>交通便捷度</v>
      </c>
      <c r="AA17" s="3389">
        <f>D17/F17</f>
        <v>1.0309278350515463</v>
      </c>
      <c r="AB17" s="3389">
        <f>D17/H17</f>
        <v>1.0638297872340425</v>
      </c>
      <c r="AC17" s="3612">
        <f>D17/J17</f>
        <v>1.0309278350515463</v>
      </c>
    </row>
    <row r="18" spans="1:29" ht="14.25">
      <c r="A18" s="3363"/>
      <c r="B18" s="3626"/>
      <c r="C18" s="3630" t="s">
        <v>3208</v>
      </c>
      <c r="D18" s="3393"/>
      <c r="E18" s="3399" t="s">
        <v>3205</v>
      </c>
      <c r="F18" s="3393"/>
      <c r="G18" s="3398" t="s">
        <v>3243</v>
      </c>
      <c r="H18" s="3392"/>
      <c r="I18" s="3398" t="s">
        <v>3205</v>
      </c>
      <c r="J18" s="3392"/>
      <c r="K18" s="3394"/>
      <c r="L18" s="3374"/>
      <c r="M18" s="3325"/>
      <c r="N18" s="3325"/>
      <c r="O18" s="3325"/>
      <c r="P18" s="3968"/>
      <c r="Q18" s="3385"/>
      <c r="R18" s="3386"/>
      <c r="S18" s="3387"/>
      <c r="T18" s="3386"/>
      <c r="U18" s="3387"/>
      <c r="V18" s="3386"/>
      <c r="W18" s="3387"/>
      <c r="X18" s="3326"/>
      <c r="Y18" s="3970"/>
      <c r="Z18" s="3388"/>
      <c r="AA18" s="3389">
        <v>1</v>
      </c>
      <c r="AB18" s="3389">
        <v>1</v>
      </c>
      <c r="AC18" s="3612">
        <v>1</v>
      </c>
    </row>
    <row r="19" spans="1:29" ht="40.5">
      <c r="A19" s="3363"/>
      <c r="B19" s="3624" t="s">
        <v>3715</v>
      </c>
      <c r="C19" s="3629" t="str">
        <f>估价对象房地状况!C7</f>
        <v>估价对象所在区域公共配套设施齐备</v>
      </c>
      <c r="D19" s="3397">
        <v>100</v>
      </c>
      <c r="E19" s="3401"/>
      <c r="F19" s="3397">
        <f>SUMIF(81:81,E20,82:82)-SUMIF(81:81,C20,82:82)+100</f>
        <v>98</v>
      </c>
      <c r="G19" s="3400"/>
      <c r="H19" s="3393">
        <f>SUMIF(81:81,G20,82:82)-SUMIF(81:81,C20,82:82)+100</f>
        <v>98</v>
      </c>
      <c r="I19" s="3400"/>
      <c r="J19" s="3393">
        <f>SUMIF(81:81,I20,82:82)-SUMIF(81:81,C20,82:82)+100</f>
        <v>98</v>
      </c>
      <c r="K19" s="3384">
        <v>2</v>
      </c>
      <c r="L19" s="3374"/>
      <c r="M19" s="3325"/>
      <c r="N19" s="3325"/>
      <c r="O19" s="3325"/>
      <c r="P19" s="3968"/>
      <c r="Q19" s="3385" t="str">
        <f>B19</f>
        <v>公共配套设施</v>
      </c>
      <c r="R19" s="3386" t="s">
        <v>3704</v>
      </c>
      <c r="S19" s="3387">
        <f>F19</f>
        <v>98</v>
      </c>
      <c r="T19" s="3386" t="s">
        <v>3704</v>
      </c>
      <c r="U19" s="3387">
        <f>H19</f>
        <v>98</v>
      </c>
      <c r="V19" s="3386" t="s">
        <v>3704</v>
      </c>
      <c r="W19" s="3387">
        <f>J19</f>
        <v>98</v>
      </c>
      <c r="X19" s="3326"/>
      <c r="Y19" s="3970"/>
      <c r="Z19" s="3388" t="str">
        <f>Q19</f>
        <v>公共配套设施</v>
      </c>
      <c r="AA19" s="3389">
        <f>D19/F19</f>
        <v>1.0204081632653061</v>
      </c>
      <c r="AB19" s="3389">
        <f>D19/H19</f>
        <v>1.0204081632653061</v>
      </c>
      <c r="AC19" s="3612">
        <f>D19/J19</f>
        <v>1.0204081632653061</v>
      </c>
    </row>
    <row r="20" spans="1:29" ht="14.25">
      <c r="A20" s="3363"/>
      <c r="B20" s="3626"/>
      <c r="C20" s="3627" t="s">
        <v>3208</v>
      </c>
      <c r="D20" s="3392"/>
      <c r="E20" s="3403" t="s">
        <v>3205</v>
      </c>
      <c r="F20" s="3392"/>
      <c r="G20" s="3402" t="s">
        <v>3205</v>
      </c>
      <c r="H20" s="3392"/>
      <c r="I20" s="3402" t="s">
        <v>3205</v>
      </c>
      <c r="J20" s="3392"/>
      <c r="K20" s="3394"/>
      <c r="L20" s="3374"/>
      <c r="M20" s="3325"/>
      <c r="N20" s="3325"/>
      <c r="O20" s="3325"/>
      <c r="P20" s="3968"/>
      <c r="Q20" s="3385"/>
      <c r="R20" s="3386"/>
      <c r="S20" s="3387"/>
      <c r="T20" s="3386"/>
      <c r="U20" s="3387"/>
      <c r="V20" s="3386"/>
      <c r="W20" s="3387"/>
      <c r="X20" s="3326"/>
      <c r="Y20" s="3970"/>
      <c r="Z20" s="3388"/>
      <c r="AA20" s="3389">
        <v>1</v>
      </c>
      <c r="AB20" s="3389">
        <v>1</v>
      </c>
      <c r="AC20" s="3612">
        <v>1</v>
      </c>
    </row>
    <row r="21" spans="1:29" ht="40.5">
      <c r="A21" s="3363"/>
      <c r="B21" s="3628" t="s">
        <v>3716</v>
      </c>
      <c r="C21" s="3629" t="str">
        <f>估价对象房地状况!C8</f>
        <v>估价对象所在区域基础设施水平七通</v>
      </c>
      <c r="D21" s="3393">
        <v>100</v>
      </c>
      <c r="E21" s="3401"/>
      <c r="F21" s="3397">
        <f>SUMIF(83:83,E22,84:84)-SUMIF(83:83,C22,84:84)+100</f>
        <v>100</v>
      </c>
      <c r="G21" s="3400"/>
      <c r="H21" s="3393">
        <f>SUMIF(83:83,G22,84:84)-SUMIF(83:83,C22,84:84)+100</f>
        <v>100</v>
      </c>
      <c r="I21" s="3400"/>
      <c r="J21" s="3393">
        <f>SUMIF(83:83,I22,84:84)-SUMIF(83:83,C22,84:84)+100</f>
        <v>100</v>
      </c>
      <c r="K21" s="3384">
        <v>2</v>
      </c>
      <c r="L21" s="3374"/>
      <c r="M21" s="3325"/>
      <c r="N21" s="3325"/>
      <c r="O21" s="3325"/>
      <c r="P21" s="3968"/>
      <c r="Q21" s="3385" t="str">
        <f>B21</f>
        <v>基础设施水平</v>
      </c>
      <c r="R21" s="3386" t="s">
        <v>3704</v>
      </c>
      <c r="S21" s="3387">
        <f>F21</f>
        <v>100</v>
      </c>
      <c r="T21" s="3386" t="s">
        <v>3704</v>
      </c>
      <c r="U21" s="3387">
        <f>H21</f>
        <v>100</v>
      </c>
      <c r="V21" s="3386" t="s">
        <v>3704</v>
      </c>
      <c r="W21" s="3387">
        <f>J21</f>
        <v>100</v>
      </c>
      <c r="X21" s="3326"/>
      <c r="Y21" s="3970"/>
      <c r="Z21" s="3388" t="str">
        <f>Q21</f>
        <v>基础设施水平</v>
      </c>
      <c r="AA21" s="3389">
        <f>D21/F21</f>
        <v>1</v>
      </c>
      <c r="AB21" s="3389">
        <f>D21/H21</f>
        <v>1</v>
      </c>
      <c r="AC21" s="3612">
        <f>D21/J21</f>
        <v>1</v>
      </c>
    </row>
    <row r="22" spans="1:29" ht="14.25">
      <c r="A22" s="3363"/>
      <c r="B22" s="3628"/>
      <c r="C22" s="3630" t="s">
        <v>3717</v>
      </c>
      <c r="D22" s="3392"/>
      <c r="E22" s="3391" t="s">
        <v>3717</v>
      </c>
      <c r="F22" s="3392"/>
      <c r="G22" s="3627" t="s">
        <v>3717</v>
      </c>
      <c r="H22" s="3392"/>
      <c r="I22" s="3627" t="s">
        <v>3717</v>
      </c>
      <c r="J22" s="3392"/>
      <c r="K22" s="3404"/>
      <c r="L22" s="3374"/>
      <c r="M22" s="3325"/>
      <c r="N22" s="3325"/>
      <c r="O22" s="3325"/>
      <c r="P22" s="3968"/>
      <c r="Q22" s="3385"/>
      <c r="R22" s="3386"/>
      <c r="S22" s="3387"/>
      <c r="T22" s="3386"/>
      <c r="U22" s="3387"/>
      <c r="V22" s="3386"/>
      <c r="W22" s="3387"/>
      <c r="X22" s="3326"/>
      <c r="Y22" s="3970"/>
      <c r="Z22" s="3388"/>
      <c r="AA22" s="3389">
        <v>1</v>
      </c>
      <c r="AB22" s="3389">
        <v>1</v>
      </c>
      <c r="AC22" s="3612">
        <v>1</v>
      </c>
    </row>
    <row r="23" spans="1:29" ht="54">
      <c r="A23" s="3363"/>
      <c r="B23" s="3624" t="s">
        <v>3918</v>
      </c>
      <c r="C23" s="3641" t="str">
        <f>估价对象房地状况!C9</f>
        <v>区域自然环境好；人文环境好；综合评价环境状况好</v>
      </c>
      <c r="D23" s="3393">
        <v>100</v>
      </c>
      <c r="E23" s="3396"/>
      <c r="F23" s="3393">
        <f>SUMIF(85:85,E24,86:86)-SUMIF(85:85,C24,86:86)+100</f>
        <v>97</v>
      </c>
      <c r="G23" s="3395"/>
      <c r="H23" s="3393">
        <f>SUMIF(85:85,G24,86:86)-SUMIF(85:85,C24,86:86)+100</f>
        <v>97</v>
      </c>
      <c r="I23" s="3395"/>
      <c r="J23" s="3393">
        <f>SUMIF(85:85,I24,86:86)-SUMIF(85:85,C24,86:86)+100</f>
        <v>97</v>
      </c>
      <c r="K23" s="3384">
        <v>3</v>
      </c>
      <c r="L23" s="3374"/>
      <c r="M23" s="3325"/>
      <c r="N23" s="3325"/>
      <c r="O23" s="3325"/>
      <c r="P23" s="3968"/>
      <c r="Q23" s="3385" t="str">
        <f>B23</f>
        <v>环境质量</v>
      </c>
      <c r="R23" s="3386" t="s">
        <v>3704</v>
      </c>
      <c r="S23" s="3387">
        <f>F23</f>
        <v>97</v>
      </c>
      <c r="T23" s="3386" t="s">
        <v>3704</v>
      </c>
      <c r="U23" s="3387">
        <f>H23</f>
        <v>97</v>
      </c>
      <c r="V23" s="3386" t="s">
        <v>3704</v>
      </c>
      <c r="W23" s="3387">
        <f>J23</f>
        <v>97</v>
      </c>
      <c r="X23" s="3326"/>
      <c r="Y23" s="3970"/>
      <c r="Z23" s="3388" t="str">
        <f>Q23</f>
        <v>环境质量</v>
      </c>
      <c r="AA23" s="3389">
        <f>D23/F23</f>
        <v>1.0309278350515463</v>
      </c>
      <c r="AB23" s="3389">
        <f>D23/H23</f>
        <v>1.0309278350515463</v>
      </c>
      <c r="AC23" s="3612">
        <f>D23/J23</f>
        <v>1.0309278350515463</v>
      </c>
    </row>
    <row r="24" spans="1:29" ht="14.25">
      <c r="A24" s="3363"/>
      <c r="B24" s="3628"/>
      <c r="C24" s="3627" t="s">
        <v>3208</v>
      </c>
      <c r="D24" s="3392"/>
      <c r="E24" s="3403" t="s">
        <v>3205</v>
      </c>
      <c r="F24" s="3392"/>
      <c r="G24" s="3402" t="s">
        <v>3205</v>
      </c>
      <c r="H24" s="3392"/>
      <c r="I24" s="3402" t="s">
        <v>3205</v>
      </c>
      <c r="J24" s="3392"/>
      <c r="K24" s="3394"/>
      <c r="L24" s="3374"/>
      <c r="M24" s="3325"/>
      <c r="N24" s="3325"/>
      <c r="O24" s="3325"/>
      <c r="P24" s="3968"/>
      <c r="Q24" s="3385"/>
      <c r="R24" s="3386"/>
      <c r="S24" s="3387"/>
      <c r="T24" s="3386"/>
      <c r="U24" s="3387"/>
      <c r="V24" s="3386"/>
      <c r="W24" s="3387"/>
      <c r="X24" s="3326"/>
      <c r="Y24" s="3970"/>
      <c r="Z24" s="3388"/>
      <c r="AA24" s="3389">
        <v>1</v>
      </c>
      <c r="AB24" s="3389">
        <v>1</v>
      </c>
      <c r="AC24" s="3612">
        <v>1</v>
      </c>
    </row>
    <row r="25" spans="1:29" ht="27">
      <c r="A25" s="3328"/>
      <c r="B25" s="3624" t="s">
        <v>3917</v>
      </c>
      <c r="C25" s="3621" t="s">
        <v>3916</v>
      </c>
      <c r="D25" s="3373">
        <v>100</v>
      </c>
      <c r="E25" s="3371" t="s">
        <v>3934</v>
      </c>
      <c r="F25" s="3373">
        <f>SUMIF(87:87,E26,88:88)-SUMIF(87:87,C26,88:88)+100</f>
        <v>100</v>
      </c>
      <c r="G25" s="3621" t="s">
        <v>3916</v>
      </c>
      <c r="H25" s="3373">
        <f>SUMIF(87:87,G26,88:88)-SUMIF(87:87,C26,88:88)+100</f>
        <v>100</v>
      </c>
      <c r="I25" s="3371" t="s">
        <v>3934</v>
      </c>
      <c r="J25" s="3373">
        <f>SUMIF(87:87,I26,88:88)-SUMIF(87:87,C26,88:88)+100</f>
        <v>100</v>
      </c>
      <c r="K25" s="3384">
        <v>2</v>
      </c>
      <c r="L25" s="3374"/>
      <c r="M25" s="3325"/>
      <c r="N25" s="3325"/>
      <c r="O25" s="3325"/>
      <c r="P25" s="3968"/>
      <c r="Q25" s="3385" t="str">
        <f>B25</f>
        <v>毗邻道路的类型与等级</v>
      </c>
      <c r="R25" s="3386" t="s">
        <v>3704</v>
      </c>
      <c r="S25" s="3387">
        <f>F25</f>
        <v>100</v>
      </c>
      <c r="T25" s="3386" t="s">
        <v>3704</v>
      </c>
      <c r="U25" s="3387">
        <f>H25</f>
        <v>100</v>
      </c>
      <c r="V25" s="3386" t="s">
        <v>3704</v>
      </c>
      <c r="W25" s="3387">
        <f>J25</f>
        <v>100</v>
      </c>
      <c r="X25" s="3326"/>
      <c r="Y25" s="3970"/>
      <c r="Z25" s="3388" t="str">
        <f>Q25</f>
        <v>毗邻道路的类型与等级</v>
      </c>
      <c r="AA25" s="3389">
        <f>D25/F25</f>
        <v>1</v>
      </c>
      <c r="AB25" s="3389">
        <f>D25/H25</f>
        <v>1</v>
      </c>
      <c r="AC25" s="3612">
        <f>D25/J25</f>
        <v>1</v>
      </c>
    </row>
    <row r="26" spans="1:29" ht="15" thickBot="1">
      <c r="A26" s="3328"/>
      <c r="B26" s="3626"/>
      <c r="C26" s="3625" t="s">
        <v>3915</v>
      </c>
      <c r="D26" s="3373"/>
      <c r="E26" s="3405" t="s">
        <v>3915</v>
      </c>
      <c r="F26" s="3373"/>
      <c r="G26" s="3625" t="s">
        <v>3915</v>
      </c>
      <c r="H26" s="3373"/>
      <c r="I26" s="3405" t="s">
        <v>3915</v>
      </c>
      <c r="J26" s="3373"/>
      <c r="K26" s="3394"/>
      <c r="L26" s="3374"/>
      <c r="M26" s="3325"/>
      <c r="N26" s="3325"/>
      <c r="O26" s="3325"/>
      <c r="P26" s="3968"/>
      <c r="Q26" s="3385"/>
      <c r="R26" s="3386"/>
      <c r="S26" s="3387"/>
      <c r="T26" s="3386"/>
      <c r="U26" s="3387"/>
      <c r="V26" s="3386"/>
      <c r="W26" s="3387"/>
      <c r="X26" s="3326"/>
      <c r="Y26" s="3970"/>
      <c r="Z26" s="3388"/>
      <c r="AA26" s="3389">
        <v>1</v>
      </c>
      <c r="AB26" s="3389">
        <v>1</v>
      </c>
      <c r="AC26" s="3612">
        <v>1</v>
      </c>
    </row>
    <row r="27" spans="1:29" ht="15" hidden="1">
      <c r="A27" s="3363"/>
      <c r="B27" s="3626" t="s">
        <v>3720</v>
      </c>
      <c r="C27" s="3625" t="s">
        <v>3914</v>
      </c>
      <c r="D27" s="3373">
        <v>100</v>
      </c>
      <c r="E27" s="3405" t="s">
        <v>3914</v>
      </c>
      <c r="F27" s="3373">
        <f>SUMIF(89:89,E27,90:90)-SUMIF(89:89,C27,90:90)+100</f>
        <v>100</v>
      </c>
      <c r="G27" s="3625" t="s">
        <v>3914</v>
      </c>
      <c r="H27" s="3373">
        <f>SUMIF(89:89,G27,90:90)-SUMIF(89:89,C27,90:90)+100</f>
        <v>100</v>
      </c>
      <c r="I27" s="3405" t="s">
        <v>3914</v>
      </c>
      <c r="J27" s="3373">
        <f>SUMIF(89:89,I27,90:90)-SUMIF(89:89,C27,90:90)+100</f>
        <v>100</v>
      </c>
      <c r="K27" s="3359">
        <v>2</v>
      </c>
      <c r="L27" s="3374"/>
      <c r="M27" s="3325"/>
      <c r="N27" s="3325"/>
      <c r="O27" s="3325"/>
      <c r="P27" s="3968"/>
      <c r="Q27" s="3385" t="str">
        <f t="shared" ref="Q27:Q47" si="8">B27</f>
        <v>楼层</v>
      </c>
      <c r="R27" s="3386" t="s">
        <v>3704</v>
      </c>
      <c r="S27" s="3387">
        <f t="shared" ref="S27:S47" si="9">F27</f>
        <v>100</v>
      </c>
      <c r="T27" s="3386" t="s">
        <v>3704</v>
      </c>
      <c r="U27" s="3387">
        <f t="shared" ref="U27:U47" si="10">H27</f>
        <v>100</v>
      </c>
      <c r="V27" s="3386" t="s">
        <v>3704</v>
      </c>
      <c r="W27" s="3387">
        <f t="shared" ref="W27:W47" si="11">J27</f>
        <v>100</v>
      </c>
      <c r="X27" s="3326"/>
      <c r="Y27" s="3970"/>
      <c r="Z27" s="3388" t="str">
        <f t="shared" ref="Z27:Z47" si="12">Q27</f>
        <v>楼层</v>
      </c>
      <c r="AA27" s="3389">
        <f t="shared" ref="AA27:AA47" si="13">D27/F27</f>
        <v>1</v>
      </c>
      <c r="AB27" s="3389">
        <f t="shared" ref="AB27:AB47" si="14">D27/H27</f>
        <v>1</v>
      </c>
      <c r="AC27" s="3612">
        <f t="shared" ref="AC27:AC47" si="15">D27/J27</f>
        <v>1</v>
      </c>
    </row>
    <row r="28" spans="1:29" s="3344" customFormat="1" ht="15" hidden="1">
      <c r="A28" s="3367"/>
      <c r="B28" s="3624" t="s">
        <v>3913</v>
      </c>
      <c r="C28" s="3623" t="s">
        <v>3912</v>
      </c>
      <c r="D28" s="3409">
        <v>100</v>
      </c>
      <c r="E28" s="3408" t="s">
        <v>3912</v>
      </c>
      <c r="F28" s="3409">
        <f>SUMIF(91:91,E28,92:92)-SUMIF(91:91,C28,92:92)+100</f>
        <v>100</v>
      </c>
      <c r="G28" s="3623" t="s">
        <v>3912</v>
      </c>
      <c r="H28" s="3409">
        <f>SUMIF(91:91,G28,92:92)-SUMIF(91:91,C28,92:92)+100</f>
        <v>100</v>
      </c>
      <c r="I28" s="3408" t="s">
        <v>3912</v>
      </c>
      <c r="J28" s="3409">
        <f>SUMIF(91:91,I28,92:92)-SUMIF(91:91,C28,92:92)+100</f>
        <v>100</v>
      </c>
      <c r="K28" s="3359">
        <v>2</v>
      </c>
      <c r="L28" s="3338"/>
      <c r="M28" s="3339"/>
      <c r="N28" s="3339"/>
      <c r="O28" s="3339"/>
      <c r="P28" s="3968"/>
      <c r="Q28" s="3351" t="str">
        <f t="shared" si="8"/>
        <v>朝向</v>
      </c>
      <c r="R28" s="3340" t="s">
        <v>3704</v>
      </c>
      <c r="S28" s="3341">
        <f t="shared" si="9"/>
        <v>100</v>
      </c>
      <c r="T28" s="3340" t="s">
        <v>3704</v>
      </c>
      <c r="U28" s="3341">
        <f t="shared" si="10"/>
        <v>100</v>
      </c>
      <c r="V28" s="3340" t="s">
        <v>3704</v>
      </c>
      <c r="W28" s="3341">
        <f t="shared" si="11"/>
        <v>100</v>
      </c>
      <c r="X28" s="3342"/>
      <c r="Y28" s="3970"/>
      <c r="Z28" s="3352" t="str">
        <f t="shared" si="12"/>
        <v>朝向</v>
      </c>
      <c r="AA28" s="3389">
        <f t="shared" si="13"/>
        <v>1</v>
      </c>
      <c r="AB28" s="3389">
        <f t="shared" si="14"/>
        <v>1</v>
      </c>
      <c r="AC28" s="3612">
        <f t="shared" si="15"/>
        <v>1</v>
      </c>
    </row>
    <row r="29" spans="1:29" ht="14.25" hidden="1">
      <c r="A29" s="3363"/>
      <c r="B29" s="3622">
        <v>111</v>
      </c>
      <c r="C29" s="3621">
        <v>111</v>
      </c>
      <c r="D29" s="3373">
        <v>100</v>
      </c>
      <c r="E29" s="3369">
        <v>111</v>
      </c>
      <c r="F29" s="3373">
        <f>SUMIF(93:93,E29,94:94)-SUMIF(93:93,C29,94:94)+100</f>
        <v>100</v>
      </c>
      <c r="G29" s="3617">
        <v>111</v>
      </c>
      <c r="H29" s="3373">
        <f>SUMIF(93:93,G29,94:94)-SUMIF(93:93,C29,94:94)+100</f>
        <v>100</v>
      </c>
      <c r="I29" s="3369">
        <v>111</v>
      </c>
      <c r="J29" s="3373">
        <f>SUMIF(93:93,I29,94:94)-SUMIF(93:93,C29,94:94)+100</f>
        <v>100</v>
      </c>
      <c r="K29" s="3372"/>
      <c r="L29" s="3374"/>
      <c r="M29" s="3325"/>
      <c r="N29" s="3325"/>
      <c r="O29" s="3325"/>
      <c r="P29" s="3968"/>
      <c r="Q29" s="3385">
        <f t="shared" si="8"/>
        <v>111</v>
      </c>
      <c r="R29" s="3386" t="s">
        <v>3704</v>
      </c>
      <c r="S29" s="3387">
        <f t="shared" si="9"/>
        <v>100</v>
      </c>
      <c r="T29" s="3386" t="s">
        <v>3704</v>
      </c>
      <c r="U29" s="3387">
        <f t="shared" si="10"/>
        <v>100</v>
      </c>
      <c r="V29" s="3386" t="s">
        <v>3704</v>
      </c>
      <c r="W29" s="3387">
        <f t="shared" si="11"/>
        <v>100</v>
      </c>
      <c r="X29" s="3326"/>
      <c r="Y29" s="3970"/>
      <c r="Z29" s="3388">
        <f t="shared" si="12"/>
        <v>111</v>
      </c>
      <c r="AA29" s="3389">
        <f t="shared" si="13"/>
        <v>1</v>
      </c>
      <c r="AB29" s="3389">
        <f t="shared" si="14"/>
        <v>1</v>
      </c>
      <c r="AC29" s="3612">
        <f t="shared" si="15"/>
        <v>1</v>
      </c>
    </row>
    <row r="30" spans="1:29" ht="14.25" hidden="1">
      <c r="A30" s="3363"/>
      <c r="B30" s="3622">
        <v>111</v>
      </c>
      <c r="C30" s="3621">
        <v>111</v>
      </c>
      <c r="D30" s="3373">
        <v>100</v>
      </c>
      <c r="E30" s="3369">
        <v>111</v>
      </c>
      <c r="F30" s="3373">
        <f>SUMIF(95:95,E30,96:96)-SUMIF(95:95,C30,96:96)+100</f>
        <v>100</v>
      </c>
      <c r="G30" s="3617">
        <v>111</v>
      </c>
      <c r="H30" s="3373">
        <f>SUMIF(95:95,G30,96:96)-SUMIF(95:95,C30,96:96)+100</f>
        <v>100</v>
      </c>
      <c r="I30" s="3369">
        <v>111</v>
      </c>
      <c r="J30" s="3373">
        <f>SUMIF(95:95,I30,96:96)-SUMIF(95:95,C30,96:96)+100</f>
        <v>100</v>
      </c>
      <c r="K30" s="3372"/>
      <c r="L30" s="3374"/>
      <c r="M30" s="3325"/>
      <c r="N30" s="3325"/>
      <c r="O30" s="3325"/>
      <c r="P30" s="3968"/>
      <c r="Q30" s="3385">
        <f t="shared" si="8"/>
        <v>111</v>
      </c>
      <c r="R30" s="3386" t="s">
        <v>3704</v>
      </c>
      <c r="S30" s="3387">
        <f t="shared" si="9"/>
        <v>100</v>
      </c>
      <c r="T30" s="3386" t="s">
        <v>3704</v>
      </c>
      <c r="U30" s="3387">
        <f t="shared" si="10"/>
        <v>100</v>
      </c>
      <c r="V30" s="3386" t="s">
        <v>3704</v>
      </c>
      <c r="W30" s="3387">
        <f t="shared" si="11"/>
        <v>100</v>
      </c>
      <c r="X30" s="3326"/>
      <c r="Y30" s="3970"/>
      <c r="Z30" s="3388">
        <f t="shared" si="12"/>
        <v>111</v>
      </c>
      <c r="AA30" s="3389">
        <f t="shared" si="13"/>
        <v>1</v>
      </c>
      <c r="AB30" s="3389">
        <f t="shared" si="14"/>
        <v>1</v>
      </c>
      <c r="AC30" s="3612">
        <f t="shared" si="15"/>
        <v>1</v>
      </c>
    </row>
    <row r="31" spans="1:29" ht="14.25" hidden="1">
      <c r="A31" s="3363"/>
      <c r="B31" s="3622">
        <v>111</v>
      </c>
      <c r="C31" s="3621">
        <v>111</v>
      </c>
      <c r="D31" s="3373">
        <v>100</v>
      </c>
      <c r="E31" s="3369">
        <v>111</v>
      </c>
      <c r="F31" s="3373">
        <f>SUMIF(97:97,E31,98:98)-SUMIF(97:97,C31,98:98)+100</f>
        <v>100</v>
      </c>
      <c r="G31" s="3617">
        <v>111</v>
      </c>
      <c r="H31" s="3373">
        <f>SUMIF(97:97,G31,98:98)-SUMIF(97:97,C31,98:98)+100</f>
        <v>100</v>
      </c>
      <c r="I31" s="3369">
        <v>111</v>
      </c>
      <c r="J31" s="3373">
        <f>SUMIF(97:97,I31,98:98)-SUMIF(97:97,C31,98:98)+100</f>
        <v>100</v>
      </c>
      <c r="K31" s="3372"/>
      <c r="L31" s="3374"/>
      <c r="M31" s="3325"/>
      <c r="N31" s="3325"/>
      <c r="O31" s="3325"/>
      <c r="P31" s="3968"/>
      <c r="Q31" s="3385">
        <f t="shared" si="8"/>
        <v>111</v>
      </c>
      <c r="R31" s="3386" t="s">
        <v>3704</v>
      </c>
      <c r="S31" s="3387">
        <f t="shared" si="9"/>
        <v>100</v>
      </c>
      <c r="T31" s="3386" t="s">
        <v>3704</v>
      </c>
      <c r="U31" s="3387">
        <f t="shared" si="10"/>
        <v>100</v>
      </c>
      <c r="V31" s="3386" t="s">
        <v>3704</v>
      </c>
      <c r="W31" s="3387">
        <f t="shared" si="11"/>
        <v>100</v>
      </c>
      <c r="X31" s="3326"/>
      <c r="Y31" s="3970"/>
      <c r="Z31" s="3388">
        <f t="shared" si="12"/>
        <v>111</v>
      </c>
      <c r="AA31" s="3389">
        <f t="shared" si="13"/>
        <v>1</v>
      </c>
      <c r="AB31" s="3389">
        <f t="shared" si="14"/>
        <v>1</v>
      </c>
      <c r="AC31" s="3612">
        <f t="shared" si="15"/>
        <v>1</v>
      </c>
    </row>
    <row r="32" spans="1:29" ht="15" hidden="1" thickBot="1">
      <c r="A32" s="3375"/>
      <c r="B32" s="3620">
        <v>111</v>
      </c>
      <c r="C32" s="3619">
        <v>111</v>
      </c>
      <c r="D32" s="3378">
        <v>100</v>
      </c>
      <c r="E32" s="3618">
        <v>111</v>
      </c>
      <c r="F32" s="3378">
        <f>SUMIF(99:99,E32,100:100)-SUMIF(99:99,C32,100:100)+100</f>
        <v>100</v>
      </c>
      <c r="G32" s="3617">
        <v>111</v>
      </c>
      <c r="H32" s="3378">
        <f>SUMIF(99:99,G32,100:100)-SUMIF(99:99,C32,100:100)+100</f>
        <v>100</v>
      </c>
      <c r="I32" s="3369">
        <v>111</v>
      </c>
      <c r="J32" s="3378">
        <f>SUMIF(99:99,I32,100:100)-SUMIF(99:99,C32,100:100)+100</f>
        <v>100</v>
      </c>
      <c r="K32" s="3372"/>
      <c r="L32" s="3374"/>
      <c r="M32" s="3325"/>
      <c r="N32" s="3325"/>
      <c r="O32" s="3325"/>
      <c r="P32" s="3968"/>
      <c r="Q32" s="3385">
        <f t="shared" si="8"/>
        <v>111</v>
      </c>
      <c r="R32" s="3386" t="s">
        <v>3704</v>
      </c>
      <c r="S32" s="3387">
        <f t="shared" si="9"/>
        <v>100</v>
      </c>
      <c r="T32" s="3386" t="s">
        <v>3704</v>
      </c>
      <c r="U32" s="3387">
        <f t="shared" si="10"/>
        <v>100</v>
      </c>
      <c r="V32" s="3386" t="s">
        <v>3704</v>
      </c>
      <c r="W32" s="3387">
        <f t="shared" si="11"/>
        <v>100</v>
      </c>
      <c r="X32" s="3326"/>
      <c r="Y32" s="3970"/>
      <c r="Z32" s="3388">
        <f t="shared" si="12"/>
        <v>111</v>
      </c>
      <c r="AA32" s="3389">
        <f t="shared" si="13"/>
        <v>1</v>
      </c>
      <c r="AB32" s="3389">
        <f t="shared" si="14"/>
        <v>1</v>
      </c>
      <c r="AC32" s="3612">
        <f t="shared" si="15"/>
        <v>1</v>
      </c>
    </row>
    <row r="33" spans="1:29" ht="15">
      <c r="A33" s="3380" t="s">
        <v>3721</v>
      </c>
      <c r="B33" s="3347" t="s">
        <v>3911</v>
      </c>
      <c r="C33" s="3616" t="s">
        <v>3910</v>
      </c>
      <c r="D33" s="3410">
        <v>100</v>
      </c>
      <c r="E33" s="3616" t="s">
        <v>3910</v>
      </c>
      <c r="F33" s="3406">
        <f>SUMIF(101:101,E33,102:102)-SUMIF(101:101,C33,102:102)+100</f>
        <v>100</v>
      </c>
      <c r="G33" s="3616" t="s">
        <v>3910</v>
      </c>
      <c r="H33" s="3373">
        <f>SUMIF(101:101,G33,102:102)-SUMIF(101:101,C33,102:102)+100</f>
        <v>100</v>
      </c>
      <c r="I33" s="3616" t="s">
        <v>3910</v>
      </c>
      <c r="J33" s="3410">
        <f>SUMIF(101:101,I33,102:102)-SUMIF(101:101,C33,102:102)+100</f>
        <v>100</v>
      </c>
      <c r="K33" s="3359">
        <v>1</v>
      </c>
      <c r="L33" s="3374"/>
      <c r="M33" s="3325"/>
      <c r="N33" s="3325"/>
      <c r="O33" s="3325"/>
      <c r="P33" s="3971" t="s">
        <v>3721</v>
      </c>
      <c r="Q33" s="3385" t="str">
        <f t="shared" si="8"/>
        <v>建筑类型</v>
      </c>
      <c r="R33" s="3386" t="s">
        <v>3704</v>
      </c>
      <c r="S33" s="3387">
        <f t="shared" si="9"/>
        <v>100</v>
      </c>
      <c r="T33" s="3386" t="s">
        <v>3704</v>
      </c>
      <c r="U33" s="3387">
        <f t="shared" si="10"/>
        <v>100</v>
      </c>
      <c r="V33" s="3386" t="s">
        <v>3704</v>
      </c>
      <c r="W33" s="3387">
        <f t="shared" si="11"/>
        <v>100</v>
      </c>
      <c r="X33" s="3326"/>
      <c r="Y33" s="3974" t="s">
        <v>3721</v>
      </c>
      <c r="Z33" s="3388" t="str">
        <f t="shared" si="12"/>
        <v>建筑类型</v>
      </c>
      <c r="AA33" s="3389">
        <f t="shared" si="13"/>
        <v>1</v>
      </c>
      <c r="AB33" s="3389">
        <f t="shared" si="14"/>
        <v>1</v>
      </c>
      <c r="AC33" s="3612">
        <f t="shared" si="15"/>
        <v>1</v>
      </c>
    </row>
    <row r="34" spans="1:29" s="3419" customFormat="1" ht="14.25">
      <c r="A34" s="3411"/>
      <c r="B34" s="3354" t="s">
        <v>3722</v>
      </c>
      <c r="C34" s="3412">
        <v>0</v>
      </c>
      <c r="D34" s="3356">
        <v>100</v>
      </c>
      <c r="E34" s="3365">
        <v>0</v>
      </c>
      <c r="F34" s="3358">
        <f>LOOKUP(E34,104:104,105:105)-LOOKUP(C34,104:104,105:105)+100</f>
        <v>100</v>
      </c>
      <c r="G34" s="3364">
        <v>0</v>
      </c>
      <c r="H34" s="3356">
        <f>LOOKUP(G34,104:104,105:105)-LOOKUP(C34,104:104,105:105)+100</f>
        <v>100</v>
      </c>
      <c r="I34" s="3364">
        <v>0</v>
      </c>
      <c r="J34" s="3356">
        <f>LOOKUP(I34,104:104,105:105)-LOOKUP(C34,104:104,105:105)+100</f>
        <v>100</v>
      </c>
      <c r="K34" s="3372"/>
      <c r="L34" s="3366"/>
      <c r="M34" s="3413"/>
      <c r="N34" s="3413"/>
      <c r="O34" s="3413"/>
      <c r="P34" s="3972"/>
      <c r="Q34" s="3414" t="str">
        <f t="shared" si="8"/>
        <v>项目建筑规模</v>
      </c>
      <c r="R34" s="3415" t="s">
        <v>3704</v>
      </c>
      <c r="S34" s="3416">
        <f t="shared" si="9"/>
        <v>100</v>
      </c>
      <c r="T34" s="3415" t="s">
        <v>3704</v>
      </c>
      <c r="U34" s="3416">
        <f t="shared" si="10"/>
        <v>100</v>
      </c>
      <c r="V34" s="3415" t="s">
        <v>3704</v>
      </c>
      <c r="W34" s="3416">
        <f t="shared" si="11"/>
        <v>100</v>
      </c>
      <c r="X34" s="3417"/>
      <c r="Y34" s="3974"/>
      <c r="Z34" s="3418" t="str">
        <f t="shared" si="12"/>
        <v>项目建筑规模</v>
      </c>
      <c r="AA34" s="3389">
        <f t="shared" si="13"/>
        <v>1</v>
      </c>
      <c r="AB34" s="3389">
        <f t="shared" si="14"/>
        <v>1</v>
      </c>
      <c r="AC34" s="3612">
        <f t="shared" si="15"/>
        <v>1</v>
      </c>
    </row>
    <row r="35" spans="1:29" ht="15">
      <c r="A35" s="3420"/>
      <c r="B35" s="3354" t="s">
        <v>3723</v>
      </c>
      <c r="C35" s="3614" t="s">
        <v>3672</v>
      </c>
      <c r="D35" s="3373">
        <v>100</v>
      </c>
      <c r="E35" s="3614" t="s">
        <v>3672</v>
      </c>
      <c r="F35" s="3406">
        <f>SUMIF(106:106,E35,107:107)-SUMIF(106:106,C35,107:107)+100</f>
        <v>100</v>
      </c>
      <c r="G35" s="3614" t="s">
        <v>3672</v>
      </c>
      <c r="H35" s="3373">
        <f>SUMIF(106:106,G35,107:107)-SUMIF(106:106,C35,107:107)+100</f>
        <v>100</v>
      </c>
      <c r="I35" s="3614" t="s">
        <v>3672</v>
      </c>
      <c r="J35" s="3373">
        <f>SUMIF(106:106,I35,107:107)-SUMIF(106:106,C35,107:107)+100</f>
        <v>100</v>
      </c>
      <c r="K35" s="3359">
        <v>2</v>
      </c>
      <c r="L35" s="3374"/>
      <c r="M35" s="3325"/>
      <c r="N35" s="3325"/>
      <c r="O35" s="3325"/>
      <c r="P35" s="3972"/>
      <c r="Q35" s="3385" t="str">
        <f t="shared" si="8"/>
        <v>建筑结构</v>
      </c>
      <c r="R35" s="3386" t="s">
        <v>3704</v>
      </c>
      <c r="S35" s="3387">
        <f t="shared" si="9"/>
        <v>100</v>
      </c>
      <c r="T35" s="3386" t="s">
        <v>3704</v>
      </c>
      <c r="U35" s="3387">
        <f t="shared" si="10"/>
        <v>100</v>
      </c>
      <c r="V35" s="3386" t="s">
        <v>3704</v>
      </c>
      <c r="W35" s="3387">
        <f t="shared" si="11"/>
        <v>100</v>
      </c>
      <c r="X35" s="3326"/>
      <c r="Y35" s="3974"/>
      <c r="Z35" s="3388" t="str">
        <f t="shared" si="12"/>
        <v>建筑结构</v>
      </c>
      <c r="AA35" s="3389">
        <f t="shared" si="13"/>
        <v>1</v>
      </c>
      <c r="AB35" s="3389">
        <f t="shared" si="14"/>
        <v>1</v>
      </c>
      <c r="AC35" s="3612">
        <f t="shared" si="15"/>
        <v>1</v>
      </c>
    </row>
    <row r="36" spans="1:29" ht="15">
      <c r="A36" s="3420"/>
      <c r="B36" s="3354" t="s">
        <v>3724</v>
      </c>
      <c r="C36" s="3614" t="s">
        <v>3725</v>
      </c>
      <c r="D36" s="3373">
        <v>100</v>
      </c>
      <c r="E36" s="3614" t="s">
        <v>3725</v>
      </c>
      <c r="F36" s="3406">
        <f>SUMIF(108:108,E36,109:109)-SUMIF(108:108,C36,109:109)+100</f>
        <v>100</v>
      </c>
      <c r="G36" s="3614" t="s">
        <v>3725</v>
      </c>
      <c r="H36" s="3373">
        <f>SUMIF(108:108,G36,109:109)-SUMIF(108:108,C36,109:109)+100</f>
        <v>100</v>
      </c>
      <c r="I36" s="3614" t="s">
        <v>3725</v>
      </c>
      <c r="J36" s="3373">
        <f>SUMIF(108:108,I36,109:109)-SUMIF(108:108,C36,109:109)+100</f>
        <v>100</v>
      </c>
      <c r="K36" s="3359">
        <v>1</v>
      </c>
      <c r="L36" s="3374"/>
      <c r="M36" s="3325"/>
      <c r="N36" s="3325"/>
      <c r="O36" s="3325"/>
      <c r="P36" s="3972"/>
      <c r="Q36" s="3385" t="str">
        <f t="shared" si="8"/>
        <v>公共部分装修</v>
      </c>
      <c r="R36" s="3386" t="s">
        <v>3704</v>
      </c>
      <c r="S36" s="3387">
        <f t="shared" si="9"/>
        <v>100</v>
      </c>
      <c r="T36" s="3386" t="s">
        <v>3704</v>
      </c>
      <c r="U36" s="3387">
        <f t="shared" si="10"/>
        <v>100</v>
      </c>
      <c r="V36" s="3386" t="s">
        <v>3704</v>
      </c>
      <c r="W36" s="3387">
        <f t="shared" si="11"/>
        <v>100</v>
      </c>
      <c r="X36" s="3326"/>
      <c r="Y36" s="3974"/>
      <c r="Z36" s="3388" t="str">
        <f t="shared" si="12"/>
        <v>公共部分装修</v>
      </c>
      <c r="AA36" s="3389">
        <f t="shared" si="13"/>
        <v>1</v>
      </c>
      <c r="AB36" s="3389">
        <f t="shared" si="14"/>
        <v>1</v>
      </c>
      <c r="AC36" s="3612">
        <f t="shared" si="15"/>
        <v>1</v>
      </c>
    </row>
    <row r="37" spans="1:29" ht="15">
      <c r="A37" s="3420"/>
      <c r="B37" s="3354" t="s">
        <v>3726</v>
      </c>
      <c r="C37" s="3422">
        <v>1</v>
      </c>
      <c r="D37" s="3373">
        <v>100</v>
      </c>
      <c r="E37" s="3422">
        <v>0.85</v>
      </c>
      <c r="F37" s="3406">
        <f>LOOKUP(E37,111:111,112:112)-LOOKUP(C37,111:111,112:112)+100</f>
        <v>99</v>
      </c>
      <c r="G37" s="3422">
        <v>0.85</v>
      </c>
      <c r="H37" s="3406">
        <f>LOOKUP(G37,111:111,112:112)-LOOKUP(C37,111:111,112:112)+100</f>
        <v>99</v>
      </c>
      <c r="I37" s="3422">
        <v>0.85</v>
      </c>
      <c r="J37" s="3373">
        <f>LOOKUP(I37,111:111,112:112)-LOOKUP(C37,111:111,112:112)+100</f>
        <v>99</v>
      </c>
      <c r="K37" s="3359">
        <v>1</v>
      </c>
      <c r="L37" s="3374"/>
      <c r="M37" s="3325"/>
      <c r="N37" s="3325"/>
      <c r="O37" s="3325"/>
      <c r="P37" s="3972"/>
      <c r="Q37" s="3385" t="str">
        <f t="shared" si="8"/>
        <v>成新度</v>
      </c>
      <c r="R37" s="3386" t="s">
        <v>3704</v>
      </c>
      <c r="S37" s="3387">
        <f t="shared" si="9"/>
        <v>99</v>
      </c>
      <c r="T37" s="3386" t="s">
        <v>3704</v>
      </c>
      <c r="U37" s="3387">
        <f t="shared" si="10"/>
        <v>99</v>
      </c>
      <c r="V37" s="3386" t="s">
        <v>3704</v>
      </c>
      <c r="W37" s="3387">
        <f t="shared" si="11"/>
        <v>99</v>
      </c>
      <c r="X37" s="3326"/>
      <c r="Y37" s="3974"/>
      <c r="Z37" s="3388" t="str">
        <f t="shared" si="12"/>
        <v>成新度</v>
      </c>
      <c r="AA37" s="3389">
        <f t="shared" si="13"/>
        <v>1.0101010101010102</v>
      </c>
      <c r="AB37" s="3389">
        <f t="shared" si="14"/>
        <v>1.0101010101010102</v>
      </c>
      <c r="AC37" s="3612">
        <f t="shared" si="15"/>
        <v>1.0101010101010102</v>
      </c>
    </row>
    <row r="38" spans="1:29" s="3344" customFormat="1" ht="15">
      <c r="A38" s="3423"/>
      <c r="B38" s="3354" t="s">
        <v>3909</v>
      </c>
      <c r="C38" s="3614" t="s">
        <v>3908</v>
      </c>
      <c r="D38" s="3356">
        <v>100</v>
      </c>
      <c r="E38" s="3614" t="s">
        <v>3908</v>
      </c>
      <c r="F38" s="3406">
        <f>SUMIF(113:113,E38,114:114)-SUMIF(113:113,C38,114:114)+100</f>
        <v>100</v>
      </c>
      <c r="G38" s="3614" t="s">
        <v>3908</v>
      </c>
      <c r="H38" s="3373">
        <f>SUMIF(113:113,G38,114:114)-SUMIF(113:113,C38,114:114)+100</f>
        <v>100</v>
      </c>
      <c r="I38" s="3614" t="s">
        <v>3908</v>
      </c>
      <c r="J38" s="3373">
        <f>SUMIF(113:113,I38,114:114)-SUMIF(113:113,C38,114:114)+100</f>
        <v>100</v>
      </c>
      <c r="K38" s="3359">
        <v>4</v>
      </c>
      <c r="L38" s="3338"/>
      <c r="M38" s="3339"/>
      <c r="N38" s="3339"/>
      <c r="O38" s="3339"/>
      <c r="P38" s="3972"/>
      <c r="Q38" s="3351" t="str">
        <f t="shared" si="8"/>
        <v>写字楼等级</v>
      </c>
      <c r="R38" s="3340" t="s">
        <v>3704</v>
      </c>
      <c r="S38" s="3341">
        <f t="shared" si="9"/>
        <v>100</v>
      </c>
      <c r="T38" s="3340" t="s">
        <v>3704</v>
      </c>
      <c r="U38" s="3341">
        <f t="shared" si="10"/>
        <v>100</v>
      </c>
      <c r="V38" s="3340" t="s">
        <v>3704</v>
      </c>
      <c r="W38" s="3341">
        <f t="shared" si="11"/>
        <v>100</v>
      </c>
      <c r="X38" s="3342"/>
      <c r="Y38" s="3974"/>
      <c r="Z38" s="3352" t="str">
        <f t="shared" si="12"/>
        <v>写字楼等级</v>
      </c>
      <c r="AA38" s="3343">
        <f t="shared" si="13"/>
        <v>1</v>
      </c>
      <c r="AB38" s="3343">
        <f t="shared" si="14"/>
        <v>1</v>
      </c>
      <c r="AC38" s="3613">
        <f t="shared" si="15"/>
        <v>1</v>
      </c>
    </row>
    <row r="39" spans="1:29" ht="15">
      <c r="A39" s="3420"/>
      <c r="B39" s="3354" t="s">
        <v>3907</v>
      </c>
      <c r="C39" s="3614" t="s">
        <v>3933</v>
      </c>
      <c r="D39" s="3373">
        <v>100</v>
      </c>
      <c r="E39" s="3614" t="s">
        <v>3906</v>
      </c>
      <c r="F39" s="3406">
        <f>SUMIF(115:115,E39,116:116)-SUMIF(115:115,C39,116:116)+100</f>
        <v>97</v>
      </c>
      <c r="G39" s="3614" t="s">
        <v>3906</v>
      </c>
      <c r="H39" s="3373">
        <f>SUMIF(115:115,G39,116:116)-SUMIF(115:115,C39,116:116)+100</f>
        <v>97</v>
      </c>
      <c r="I39" s="3614" t="s">
        <v>3906</v>
      </c>
      <c r="J39" s="3373">
        <f>SUMIF(115:115,I39,116:116)-SUMIF(115:115,C39,116:116)+100</f>
        <v>97</v>
      </c>
      <c r="K39" s="3359">
        <v>3</v>
      </c>
      <c r="L39" s="3374"/>
      <c r="M39" s="3325"/>
      <c r="N39" s="3325"/>
      <c r="O39" s="3325"/>
      <c r="P39" s="3972" t="s">
        <v>3905</v>
      </c>
      <c r="Q39" s="3385" t="str">
        <f t="shared" si="8"/>
        <v>物业管理</v>
      </c>
      <c r="R39" s="3386" t="s">
        <v>3899</v>
      </c>
      <c r="S39" s="3387">
        <f t="shared" si="9"/>
        <v>97</v>
      </c>
      <c r="T39" s="3386" t="s">
        <v>3899</v>
      </c>
      <c r="U39" s="3387">
        <f t="shared" si="10"/>
        <v>97</v>
      </c>
      <c r="V39" s="3386" t="s">
        <v>3899</v>
      </c>
      <c r="W39" s="3387">
        <f t="shared" si="11"/>
        <v>97</v>
      </c>
      <c r="X39" s="3326"/>
      <c r="Y39" s="3974" t="s">
        <v>3905</v>
      </c>
      <c r="Z39" s="3388" t="str">
        <f t="shared" si="12"/>
        <v>物业管理</v>
      </c>
      <c r="AA39" s="3389">
        <f t="shared" si="13"/>
        <v>1.0309278350515463</v>
      </c>
      <c r="AB39" s="3389">
        <f t="shared" si="14"/>
        <v>1.0309278350515463</v>
      </c>
      <c r="AC39" s="3612">
        <f t="shared" si="15"/>
        <v>1.0309278350515463</v>
      </c>
    </row>
    <row r="40" spans="1:29" ht="15">
      <c r="A40" s="3420"/>
      <c r="B40" s="3354" t="s">
        <v>3847</v>
      </c>
      <c r="C40" s="3614" t="s">
        <v>3717</v>
      </c>
      <c r="D40" s="3373">
        <v>100</v>
      </c>
      <c r="E40" s="3614" t="s">
        <v>3904</v>
      </c>
      <c r="F40" s="3406">
        <f>SUMIF(117:117,E40,118:118)-SUMIF(117:117,C40,118:118)+100</f>
        <v>99</v>
      </c>
      <c r="G40" s="3614" t="s">
        <v>3904</v>
      </c>
      <c r="H40" s="3373">
        <f>SUMIF(117:117,G40,118:118)-SUMIF(117:117,C40,118:118)+100</f>
        <v>99</v>
      </c>
      <c r="I40" s="3614" t="s">
        <v>3904</v>
      </c>
      <c r="J40" s="3373">
        <f>SUMIF(117:117,I40,118:118)-SUMIF(117:117,C40,118:118)+100</f>
        <v>99</v>
      </c>
      <c r="K40" s="3359">
        <v>1</v>
      </c>
      <c r="L40" s="3374"/>
      <c r="M40" s="3325"/>
      <c r="N40" s="3325"/>
      <c r="O40" s="3325"/>
      <c r="P40" s="3972"/>
      <c r="Q40" s="3385" t="str">
        <f t="shared" si="8"/>
        <v>市政基础设施</v>
      </c>
      <c r="R40" s="3386" t="s">
        <v>3899</v>
      </c>
      <c r="S40" s="3387">
        <f t="shared" si="9"/>
        <v>99</v>
      </c>
      <c r="T40" s="3386" t="s">
        <v>3899</v>
      </c>
      <c r="U40" s="3387">
        <f t="shared" si="10"/>
        <v>99</v>
      </c>
      <c r="V40" s="3386" t="s">
        <v>3899</v>
      </c>
      <c r="W40" s="3387">
        <f t="shared" si="11"/>
        <v>99</v>
      </c>
      <c r="X40" s="3326"/>
      <c r="Y40" s="3974"/>
      <c r="Z40" s="3388" t="str">
        <f t="shared" si="12"/>
        <v>市政基础设施</v>
      </c>
      <c r="AA40" s="3389">
        <f t="shared" si="13"/>
        <v>1.0101010101010102</v>
      </c>
      <c r="AB40" s="3389">
        <f t="shared" si="14"/>
        <v>1.0101010101010102</v>
      </c>
      <c r="AC40" s="3612">
        <f t="shared" si="15"/>
        <v>1.0101010101010102</v>
      </c>
    </row>
    <row r="41" spans="1:29" ht="15">
      <c r="A41" s="3420"/>
      <c r="B41" s="3354" t="s">
        <v>3903</v>
      </c>
      <c r="C41" s="3405" t="s">
        <v>3728</v>
      </c>
      <c r="D41" s="3373">
        <v>100</v>
      </c>
      <c r="E41" s="3405" t="s">
        <v>3728</v>
      </c>
      <c r="F41" s="3406">
        <f>SUMIF(119:119,E41,120:120)-SUMIF(119:119,C41,120:120)+100</f>
        <v>100</v>
      </c>
      <c r="G41" s="3405" t="s">
        <v>3728</v>
      </c>
      <c r="H41" s="3373">
        <f>SUMIF(119:119,G41,120:120)-SUMIF(119:119,C41,120:120)+100</f>
        <v>100</v>
      </c>
      <c r="I41" s="3405" t="s">
        <v>3728</v>
      </c>
      <c r="J41" s="3373">
        <f>SUMIF(119:119,I41,120:120)-SUMIF(119:119,C41,120:120)+100</f>
        <v>100</v>
      </c>
      <c r="K41" s="3359">
        <v>1.5</v>
      </c>
      <c r="L41" s="3374"/>
      <c r="M41" s="3325"/>
      <c r="N41" s="3325"/>
      <c r="O41" s="3325"/>
      <c r="P41" s="3972"/>
      <c r="Q41" s="3385" t="str">
        <f t="shared" si="8"/>
        <v>层高</v>
      </c>
      <c r="R41" s="3386" t="s">
        <v>3899</v>
      </c>
      <c r="S41" s="3387">
        <f t="shared" si="9"/>
        <v>100</v>
      </c>
      <c r="T41" s="3386" t="s">
        <v>3899</v>
      </c>
      <c r="U41" s="3387">
        <f t="shared" si="10"/>
        <v>100</v>
      </c>
      <c r="V41" s="3386" t="s">
        <v>3899</v>
      </c>
      <c r="W41" s="3387">
        <f t="shared" si="11"/>
        <v>100</v>
      </c>
      <c r="X41" s="3326"/>
      <c r="Y41" s="3974"/>
      <c r="Z41" s="3388" t="str">
        <f t="shared" si="12"/>
        <v>层高</v>
      </c>
      <c r="AA41" s="3389">
        <f t="shared" si="13"/>
        <v>1</v>
      </c>
      <c r="AB41" s="3389">
        <f t="shared" si="14"/>
        <v>1</v>
      </c>
      <c r="AC41" s="3612">
        <f t="shared" si="15"/>
        <v>1</v>
      </c>
    </row>
    <row r="42" spans="1:29" s="3419" customFormat="1" ht="14.25">
      <c r="A42" s="3411"/>
      <c r="B42" s="3424" t="s">
        <v>3838</v>
      </c>
      <c r="C42" s="3615"/>
      <c r="D42" s="3373">
        <v>100</v>
      </c>
      <c r="E42" s="3615">
        <v>155</v>
      </c>
      <c r="F42" s="3406">
        <f>SUMIF(121:121,E42,122:122)-SUMIF(121:121,C42,122:122)+100</f>
        <v>100</v>
      </c>
      <c r="G42" s="3615">
        <v>900</v>
      </c>
      <c r="H42" s="3373">
        <f>SUMIF(121:121,G42,122:122)-SUMIF(121:121,C42,122:122)+100</f>
        <v>100</v>
      </c>
      <c r="I42" s="3615">
        <v>85</v>
      </c>
      <c r="J42" s="3373">
        <f>SUMIF(121:121,I42,122:122)-SUMIF(121:121,C42,122:122)+100</f>
        <v>100</v>
      </c>
      <c r="K42" s="3372"/>
      <c r="L42" s="3366"/>
      <c r="M42" s="3413"/>
      <c r="N42" s="3413"/>
      <c r="O42" s="3413"/>
      <c r="P42" s="3972"/>
      <c r="Q42" s="3414" t="str">
        <f t="shared" si="8"/>
        <v>单套建筑面积</v>
      </c>
      <c r="R42" s="3415" t="s">
        <v>3899</v>
      </c>
      <c r="S42" s="3416">
        <f t="shared" si="9"/>
        <v>100</v>
      </c>
      <c r="T42" s="3415" t="s">
        <v>3899</v>
      </c>
      <c r="U42" s="3416">
        <f t="shared" si="10"/>
        <v>100</v>
      </c>
      <c r="V42" s="3415" t="s">
        <v>3899</v>
      </c>
      <c r="W42" s="3416">
        <f t="shared" si="11"/>
        <v>100</v>
      </c>
      <c r="X42" s="3417"/>
      <c r="Y42" s="3974"/>
      <c r="Z42" s="3418" t="str">
        <f t="shared" si="12"/>
        <v>单套建筑面积</v>
      </c>
      <c r="AA42" s="3389">
        <f t="shared" si="13"/>
        <v>1</v>
      </c>
      <c r="AB42" s="3389">
        <f t="shared" si="14"/>
        <v>1</v>
      </c>
      <c r="AC42" s="3612">
        <f t="shared" si="15"/>
        <v>1</v>
      </c>
    </row>
    <row r="43" spans="1:29" ht="15">
      <c r="A43" s="3420"/>
      <c r="B43" s="3354" t="s">
        <v>3902</v>
      </c>
      <c r="C43" s="3614" t="s">
        <v>3782</v>
      </c>
      <c r="D43" s="3373">
        <v>100</v>
      </c>
      <c r="E43" s="3614" t="s">
        <v>3731</v>
      </c>
      <c r="F43" s="3406">
        <f>SUMIF(123:123,E43,124:124)-SUMIF(123:123,C43,124:124)+100</f>
        <v>101</v>
      </c>
      <c r="G43" s="3614" t="s">
        <v>3731</v>
      </c>
      <c r="H43" s="3373">
        <f>SUMIF(123:123,G43,124:124)-SUMIF(123:123,C43,124:124)+100</f>
        <v>101</v>
      </c>
      <c r="I43" s="3614" t="s">
        <v>3731</v>
      </c>
      <c r="J43" s="3373">
        <f>SUMIF(123:123,I43,124:124)-SUMIF(123:123,C43,124:124)+100</f>
        <v>101</v>
      </c>
      <c r="K43" s="3359">
        <v>1</v>
      </c>
      <c r="L43" s="3374"/>
      <c r="M43" s="3325"/>
      <c r="N43" s="3325"/>
      <c r="O43" s="3325"/>
      <c r="P43" s="3972"/>
      <c r="Q43" s="3385" t="str">
        <f t="shared" si="8"/>
        <v>内部装修</v>
      </c>
      <c r="R43" s="3386" t="s">
        <v>3900</v>
      </c>
      <c r="S43" s="3387">
        <f t="shared" si="9"/>
        <v>101</v>
      </c>
      <c r="T43" s="3386" t="s">
        <v>3899</v>
      </c>
      <c r="U43" s="3387">
        <f t="shared" si="10"/>
        <v>101</v>
      </c>
      <c r="V43" s="3386" t="s">
        <v>3899</v>
      </c>
      <c r="W43" s="3387">
        <f t="shared" si="11"/>
        <v>101</v>
      </c>
      <c r="X43" s="3326"/>
      <c r="Y43" s="3974"/>
      <c r="Z43" s="3388" t="str">
        <f t="shared" si="12"/>
        <v>内部装修</v>
      </c>
      <c r="AA43" s="3389">
        <f t="shared" si="13"/>
        <v>0.99009900990099009</v>
      </c>
      <c r="AB43" s="3389">
        <f t="shared" si="14"/>
        <v>0.99009900990099009</v>
      </c>
      <c r="AC43" s="3612">
        <f t="shared" si="15"/>
        <v>0.99009900990099009</v>
      </c>
    </row>
    <row r="44" spans="1:29" ht="27">
      <c r="A44" s="3420"/>
      <c r="B44" s="3354" t="s">
        <v>3732</v>
      </c>
      <c r="C44" s="3614" t="s">
        <v>3205</v>
      </c>
      <c r="D44" s="3373">
        <v>100</v>
      </c>
      <c r="E44" s="3421" t="s">
        <v>3205</v>
      </c>
      <c r="F44" s="3406">
        <f>SUMIF(125:125,E44,126:126)-SUMIF(125:125,C44,126:126)+100</f>
        <v>100</v>
      </c>
      <c r="G44" s="3421" t="s">
        <v>3205</v>
      </c>
      <c r="H44" s="3373">
        <f>SUMIF(125:125,G44,126:126)-SUMIF(125:125,C44,126:126)+100</f>
        <v>100</v>
      </c>
      <c r="I44" s="3421" t="s">
        <v>3205</v>
      </c>
      <c r="J44" s="3373">
        <f>SUMIF(125:125,I44,126:126)-SUMIF(125:125,C44,126:126)+100</f>
        <v>100</v>
      </c>
      <c r="K44" s="3359">
        <v>2</v>
      </c>
      <c r="L44" s="3374"/>
      <c r="M44" s="3325"/>
      <c r="N44" s="3325"/>
      <c r="O44" s="3325"/>
      <c r="P44" s="3972"/>
      <c r="Q44" s="3385" t="str">
        <f t="shared" si="8"/>
        <v>内部装修维护情况</v>
      </c>
      <c r="R44" s="3386" t="s">
        <v>3899</v>
      </c>
      <c r="S44" s="3387">
        <f t="shared" si="9"/>
        <v>100</v>
      </c>
      <c r="T44" s="3386" t="s">
        <v>3899</v>
      </c>
      <c r="U44" s="3387">
        <f t="shared" si="10"/>
        <v>100</v>
      </c>
      <c r="V44" s="3386" t="s">
        <v>3899</v>
      </c>
      <c r="W44" s="3387">
        <f t="shared" si="11"/>
        <v>100</v>
      </c>
      <c r="X44" s="3326"/>
      <c r="Y44" s="3974"/>
      <c r="Z44" s="3388" t="str">
        <f t="shared" si="12"/>
        <v>内部装修维护情况</v>
      </c>
      <c r="AA44" s="3389">
        <f t="shared" si="13"/>
        <v>1</v>
      </c>
      <c r="AB44" s="3389">
        <f t="shared" si="14"/>
        <v>1</v>
      </c>
      <c r="AC44" s="3612">
        <f t="shared" si="15"/>
        <v>1</v>
      </c>
    </row>
    <row r="45" spans="1:29" s="3344" customFormat="1" ht="14.25">
      <c r="A45" s="3423"/>
      <c r="B45" s="3407">
        <v>111</v>
      </c>
      <c r="C45" s="3425">
        <v>111</v>
      </c>
      <c r="D45" s="3356">
        <v>100</v>
      </c>
      <c r="E45" s="3369">
        <v>111</v>
      </c>
      <c r="F45" s="3358">
        <f>SUMIF(127:127,E45,128:128)-SUMIF(127:127,C45,128:128)+100</f>
        <v>100</v>
      </c>
      <c r="G45" s="3369">
        <v>111</v>
      </c>
      <c r="H45" s="3356">
        <f>SUMIF(127:127,G45,128:128)-SUMIF(127:127,C45,128:128)+100</f>
        <v>100</v>
      </c>
      <c r="I45" s="3369">
        <v>111</v>
      </c>
      <c r="J45" s="3356">
        <f>SUMIF(127:127,I45,128:128)-SUMIF(127:127,C45,128:128)+100</f>
        <v>100</v>
      </c>
      <c r="K45" s="3372"/>
      <c r="L45" s="3338"/>
      <c r="M45" s="3339"/>
      <c r="N45" s="3339"/>
      <c r="O45" s="3339"/>
      <c r="P45" s="3972"/>
      <c r="Q45" s="3351">
        <f t="shared" si="8"/>
        <v>111</v>
      </c>
      <c r="R45" s="3340" t="s">
        <v>3901</v>
      </c>
      <c r="S45" s="3341">
        <f t="shared" si="9"/>
        <v>100</v>
      </c>
      <c r="T45" s="3340" t="s">
        <v>3900</v>
      </c>
      <c r="U45" s="3341">
        <f t="shared" si="10"/>
        <v>100</v>
      </c>
      <c r="V45" s="3340" t="s">
        <v>3899</v>
      </c>
      <c r="W45" s="3341">
        <f t="shared" si="11"/>
        <v>100</v>
      </c>
      <c r="X45" s="3342"/>
      <c r="Y45" s="3974"/>
      <c r="Z45" s="3352">
        <f t="shared" si="12"/>
        <v>111</v>
      </c>
      <c r="AA45" s="3343">
        <f t="shared" si="13"/>
        <v>1</v>
      </c>
      <c r="AB45" s="3343">
        <f t="shared" si="14"/>
        <v>1</v>
      </c>
      <c r="AC45" s="3613">
        <f t="shared" si="15"/>
        <v>1</v>
      </c>
    </row>
    <row r="46" spans="1:29" ht="14.25">
      <c r="A46" s="3420"/>
      <c r="B46" s="3407">
        <v>111</v>
      </c>
      <c r="C46" s="3371">
        <v>111</v>
      </c>
      <c r="D46" s="3373">
        <v>100</v>
      </c>
      <c r="E46" s="3369">
        <v>111</v>
      </c>
      <c r="F46" s="3406">
        <f>SUMIF(129:129,E46,130:130)-SUMIF(129:129,C46,130:130)+100</f>
        <v>100</v>
      </c>
      <c r="G46" s="3369">
        <v>111</v>
      </c>
      <c r="H46" s="3373">
        <f>SUMIF(129:129,G46,130:130)-SUMIF(129:129,C46,130:130)+100</f>
        <v>100</v>
      </c>
      <c r="I46" s="3369">
        <v>111</v>
      </c>
      <c r="J46" s="3373">
        <f>SUMIF(129:129,I46,130:130)-SUMIF(129:129,C46,130:130)+100</f>
        <v>100</v>
      </c>
      <c r="K46" s="3372"/>
      <c r="L46" s="3374"/>
      <c r="M46" s="3325"/>
      <c r="N46" s="3325"/>
      <c r="O46" s="3325"/>
      <c r="P46" s="3972"/>
      <c r="Q46" s="3385">
        <f t="shared" si="8"/>
        <v>111</v>
      </c>
      <c r="R46" s="3386" t="s">
        <v>3899</v>
      </c>
      <c r="S46" s="3387">
        <f t="shared" si="9"/>
        <v>100</v>
      </c>
      <c r="T46" s="3386" t="s">
        <v>3899</v>
      </c>
      <c r="U46" s="3387">
        <f t="shared" si="10"/>
        <v>100</v>
      </c>
      <c r="V46" s="3386" t="s">
        <v>20</v>
      </c>
      <c r="W46" s="3387">
        <f t="shared" si="11"/>
        <v>100</v>
      </c>
      <c r="X46" s="3326"/>
      <c r="Y46" s="3974"/>
      <c r="Z46" s="3388">
        <f t="shared" si="12"/>
        <v>111</v>
      </c>
      <c r="AA46" s="3389">
        <f t="shared" si="13"/>
        <v>1</v>
      </c>
      <c r="AB46" s="3389">
        <f t="shared" si="14"/>
        <v>1</v>
      </c>
      <c r="AC46" s="3612">
        <f t="shared" si="15"/>
        <v>1</v>
      </c>
    </row>
    <row r="47" spans="1:29" ht="15" thickBot="1">
      <c r="A47" s="3426"/>
      <c r="B47" s="3376">
        <v>111</v>
      </c>
      <c r="C47" s="3377">
        <v>111</v>
      </c>
      <c r="D47" s="3378">
        <v>100</v>
      </c>
      <c r="E47" s="3369">
        <v>111</v>
      </c>
      <c r="F47" s="3379">
        <f>SUMIF(131:131,E47,132:132)-SUMIF(131:131,C47,132:132)+100</f>
        <v>100</v>
      </c>
      <c r="G47" s="3369">
        <v>111</v>
      </c>
      <c r="H47" s="3378">
        <f>SUMIF(131:131,G47,132:132)-SUMIF(131:131,C47,132:132)+100</f>
        <v>100</v>
      </c>
      <c r="I47" s="3369">
        <v>111</v>
      </c>
      <c r="J47" s="3378">
        <f>SUMIF(131:131,I47,132:132)-SUMIF(131:131,C47,132:132)+100</f>
        <v>100</v>
      </c>
      <c r="K47" s="3372"/>
      <c r="L47" s="3374"/>
      <c r="M47" s="3325"/>
      <c r="N47" s="3325"/>
      <c r="O47" s="3325"/>
      <c r="P47" s="3973"/>
      <c r="Q47" s="3385">
        <f t="shared" si="8"/>
        <v>111</v>
      </c>
      <c r="R47" s="3386" t="s">
        <v>3898</v>
      </c>
      <c r="S47" s="3387">
        <f t="shared" si="9"/>
        <v>100</v>
      </c>
      <c r="T47" s="3386" t="s">
        <v>3898</v>
      </c>
      <c r="U47" s="3387">
        <f t="shared" si="10"/>
        <v>100</v>
      </c>
      <c r="V47" s="3386" t="s">
        <v>3897</v>
      </c>
      <c r="W47" s="3387">
        <f t="shared" si="11"/>
        <v>100</v>
      </c>
      <c r="X47" s="3326"/>
      <c r="Y47" s="3975"/>
      <c r="Z47" s="3388">
        <f t="shared" si="12"/>
        <v>111</v>
      </c>
      <c r="AA47" s="3389">
        <f t="shared" si="13"/>
        <v>1</v>
      </c>
      <c r="AB47" s="3389">
        <f t="shared" si="14"/>
        <v>1</v>
      </c>
      <c r="AC47" s="3612">
        <f t="shared" si="15"/>
        <v>1</v>
      </c>
    </row>
    <row r="48" spans="1:29" ht="15">
      <c r="A48" s="3427" t="s">
        <v>3896</v>
      </c>
      <c r="B48" s="3428"/>
      <c r="C48" s="3429" t="s">
        <v>3895</v>
      </c>
      <c r="D48" s="3430"/>
      <c r="E48" s="3431">
        <v>5.0999999999999996</v>
      </c>
      <c r="F48" s="3432"/>
      <c r="G48" s="3433">
        <v>5.9</v>
      </c>
      <c r="H48" s="3434"/>
      <c r="I48" s="3431">
        <v>5.8</v>
      </c>
      <c r="J48" s="3611"/>
      <c r="K48" s="3435"/>
      <c r="L48" s="3436"/>
      <c r="M48" s="3325"/>
      <c r="N48" s="3325"/>
      <c r="O48" s="3325"/>
      <c r="P48" s="3961" t="str">
        <f>A48</f>
        <v>成交单价（元/平方米）</v>
      </c>
      <c r="Q48" s="3962"/>
      <c r="R48" s="3963">
        <f>E48</f>
        <v>5.0999999999999996</v>
      </c>
      <c r="S48" s="3963"/>
      <c r="T48" s="3963">
        <f>G48</f>
        <v>5.9</v>
      </c>
      <c r="U48" s="3963"/>
      <c r="V48" s="3963">
        <f>I48</f>
        <v>5.8</v>
      </c>
      <c r="W48" s="3963"/>
      <c r="X48" s="3390"/>
      <c r="Y48" s="3439"/>
      <c r="Z48" s="3390"/>
      <c r="AA48" s="3390"/>
      <c r="AB48" s="3390"/>
      <c r="AC48" s="3609"/>
    </row>
    <row r="49" spans="1:29" ht="15.75" thickBot="1">
      <c r="A49" s="3440" t="s">
        <v>3894</v>
      </c>
      <c r="B49" s="3441"/>
      <c r="C49" s="3442">
        <f>R50</f>
        <v>6.5</v>
      </c>
      <c r="D49" s="3443"/>
      <c r="E49" s="3444">
        <f>R49</f>
        <v>5.9</v>
      </c>
      <c r="F49" s="3444"/>
      <c r="G49" s="3442">
        <f>T49</f>
        <v>7</v>
      </c>
      <c r="H49" s="3443"/>
      <c r="I49" s="3444">
        <f>V49</f>
        <v>6.7</v>
      </c>
      <c r="J49" s="3610"/>
      <c r="K49" s="3445"/>
      <c r="L49" s="3436"/>
      <c r="M49" s="3325"/>
      <c r="N49" s="3325"/>
      <c r="O49" s="3325"/>
      <c r="P49" s="3961" t="str">
        <f>A49</f>
        <v>比较价值（元/平方米）</v>
      </c>
      <c r="Q49" s="3962"/>
      <c r="R49" s="3963">
        <f>IF(F1="售价",ROUND(PRODUCT(R48,AA7:AA47),0),ROUND(PRODUCT(R48,AA7:AA47),1))</f>
        <v>5.9</v>
      </c>
      <c r="S49" s="3963"/>
      <c r="T49" s="3963">
        <f>IF(F1="售价",ROUND(PRODUCT(T48,AB7:AB47),0),ROUND(PRODUCT(T48,AB7:AB47),1))</f>
        <v>7</v>
      </c>
      <c r="U49" s="3963"/>
      <c r="V49" s="3963">
        <f>IF(F1="售价",ROUND(PRODUCT(V48,AC7:AC47),0),ROUND(PRODUCT(V48,AC7:AC47),1))</f>
        <v>6.7</v>
      </c>
      <c r="W49" s="3963"/>
      <c r="X49" s="3390"/>
      <c r="Y49" s="3390"/>
      <c r="Z49" s="3390"/>
      <c r="AA49" s="3390"/>
      <c r="AB49" s="3390"/>
      <c r="AC49" s="3609"/>
    </row>
    <row r="50" spans="1:29" ht="15.75" thickBot="1">
      <c r="A50" s="3446" t="s">
        <v>3893</v>
      </c>
      <c r="B50" s="3447"/>
      <c r="C50" s="3448">
        <f>R50</f>
        <v>6.5</v>
      </c>
      <c r="D50" s="3448"/>
      <c r="E50" s="3448"/>
      <c r="F50" s="3448"/>
      <c r="G50" s="3448"/>
      <c r="H50" s="3448"/>
      <c r="I50" s="3448"/>
      <c r="J50" s="3608"/>
      <c r="K50" s="3449"/>
      <c r="L50" s="3436"/>
      <c r="M50" s="3325"/>
      <c r="N50" s="3325"/>
      <c r="O50" s="3325"/>
      <c r="P50" s="3964" t="str">
        <f>A50</f>
        <v>估价对象办公用房的比较价值（楼面单价，元/平方米）</v>
      </c>
      <c r="Q50" s="3965"/>
      <c r="R50" s="3966">
        <f>IF(F1="售价",ROUND(AVERAGE(R49:V49),0),ROUND(AVERAGE(R49:V49),1))</f>
        <v>6.5</v>
      </c>
      <c r="S50" s="3966"/>
      <c r="T50" s="3966"/>
      <c r="U50" s="3966"/>
      <c r="V50" s="3966"/>
      <c r="W50" s="3966"/>
      <c r="X50" s="3607"/>
      <c r="Y50" s="3607"/>
      <c r="Z50" s="3607"/>
      <c r="AA50" s="3607"/>
      <c r="AB50" s="3607"/>
      <c r="AC50" s="3606"/>
    </row>
    <row r="51" spans="1:29">
      <c r="A51" s="3437"/>
      <c r="B51" s="3437"/>
      <c r="C51" s="3437"/>
      <c r="D51" s="3437"/>
      <c r="E51" s="3437"/>
      <c r="F51" s="3437"/>
      <c r="G51" s="3450"/>
      <c r="H51" s="3437"/>
      <c r="I51" s="3437"/>
      <c r="J51" s="3437"/>
      <c r="K51" s="3451"/>
      <c r="L51" s="3452"/>
      <c r="M51" s="3437"/>
      <c r="N51" s="3437"/>
      <c r="O51" s="3437"/>
    </row>
    <row r="52" spans="1:29">
      <c r="A52" s="3437"/>
      <c r="B52" s="3437"/>
      <c r="C52" s="3437"/>
      <c r="D52" s="3437"/>
      <c r="E52" s="3437"/>
      <c r="F52" s="3437"/>
      <c r="G52" s="3437"/>
      <c r="H52" s="3437"/>
      <c r="I52" s="3437"/>
      <c r="J52" s="3437"/>
      <c r="K52" s="3451"/>
      <c r="L52" s="3452"/>
      <c r="M52" s="3437"/>
      <c r="N52" s="3437"/>
      <c r="O52" s="3437"/>
    </row>
    <row r="53" spans="1:29" ht="13.5" customHeight="1">
      <c r="A53" s="3437"/>
      <c r="B53" s="3437"/>
      <c r="C53" s="3453" t="s">
        <v>3892</v>
      </c>
      <c r="D53" s="3293"/>
      <c r="E53" s="3454">
        <f>IF(E48&lt;E49,E49/E48-1,E48/E49-1)</f>
        <v>0.15686274509803932</v>
      </c>
      <c r="F53" s="3455" t="str">
        <f>IF(OR(E53&gt;=0.3,E53&lt;=-0.3),"超过30%","")</f>
        <v/>
      </c>
      <c r="G53" s="3454">
        <f>IF(G48&lt;G49,G49/G48-1,G48/G49-1)</f>
        <v>0.18644067796610164</v>
      </c>
      <c r="H53" s="3455" t="str">
        <f>IF(OR(G53&gt;=0.3,G53&lt;=-0.3),"超过30%","")</f>
        <v/>
      </c>
      <c r="I53" s="3454">
        <f>IF(I48&lt;I49,I49/I48-1,I48/I49-1)</f>
        <v>0.15517241379310343</v>
      </c>
      <c r="J53" s="3455" t="str">
        <f>IF(OR(I53&gt;=0.3,I53&lt;=-0.3),"超过30%","")</f>
        <v/>
      </c>
      <c r="K53" s="3451"/>
      <c r="L53" s="3452"/>
      <c r="M53" s="3437"/>
      <c r="N53" s="3437"/>
      <c r="O53" s="3437"/>
    </row>
    <row r="54" spans="1:29" ht="13.5" customHeight="1">
      <c r="A54" s="3437"/>
      <c r="B54" s="3437"/>
      <c r="C54" s="3453" t="s">
        <v>3733</v>
      </c>
      <c r="D54" s="3292"/>
      <c r="E54" s="3454">
        <f>IF(E49&lt;G49,G49/E49-1,E49/G49-1)</f>
        <v>0.18644067796610164</v>
      </c>
      <c r="F54" s="3455" t="str">
        <f>IF(OR(E54&gt;=0.2,E54&lt;=-0.2),"超过20%","")</f>
        <v/>
      </c>
      <c r="G54" s="3454">
        <f>IF(G49&lt;I49,I49/G49-1,G49/I49-1)</f>
        <v>4.4776119402984982E-2</v>
      </c>
      <c r="H54" s="3455" t="str">
        <f>IF(OR(G54&gt;=0.2,G54&lt;=-0.2),"超过20%","")</f>
        <v/>
      </c>
      <c r="I54" s="3454">
        <f>IF(I49&lt;E49,E49/I49-1,I49/E49-1)</f>
        <v>0.13559322033898291</v>
      </c>
      <c r="J54" s="3455" t="str">
        <f>IF(OR(I54&gt;=0.2,I54&lt;=-0.2),"超过20%","")</f>
        <v/>
      </c>
      <c r="K54" s="3451"/>
      <c r="L54" s="3452"/>
      <c r="M54" s="3437"/>
      <c r="N54" s="3437"/>
      <c r="O54" s="3437"/>
    </row>
    <row r="55" spans="1:29" s="3459" customFormat="1" ht="13.5" customHeight="1">
      <c r="A55" s="3456"/>
      <c r="B55" s="3456"/>
      <c r="C55" s="3453" t="s">
        <v>3734</v>
      </c>
      <c r="D55" s="3292"/>
      <c r="E55" s="3454">
        <f>IF(E48&lt;G48,G48/E48-1,E48/G48-1)</f>
        <v>0.15686274509803932</v>
      </c>
      <c r="F55" s="3455" t="str">
        <f>IF(OR(E55&gt;=0.3,E55&lt;=-0.3),"超过30%","")</f>
        <v/>
      </c>
      <c r="G55" s="3454">
        <f>IF(G48&lt;I48,I48/G48-1,G48/I48-1)</f>
        <v>1.7241379310344973E-2</v>
      </c>
      <c r="H55" s="3455" t="str">
        <f>IF(OR(G55&gt;=0.3,G55&lt;=-0.3),"超过30%","")</f>
        <v/>
      </c>
      <c r="I55" s="3454">
        <f>IF(I48&lt;E48,E48/I48-1,I48/E48-1)</f>
        <v>0.13725490196078427</v>
      </c>
      <c r="J55" s="3455" t="str">
        <f>IF(OR(I55&gt;=0.3,I55&lt;=-0.3),"超过30%","")</f>
        <v/>
      </c>
      <c r="K55" s="3457"/>
      <c r="L55" s="3458"/>
      <c r="M55" s="3456"/>
      <c r="N55" s="3456"/>
      <c r="O55" s="3456"/>
      <c r="P55" s="3605"/>
    </row>
    <row r="56" spans="1:29" s="3459" customFormat="1">
      <c r="A56" s="3456"/>
      <c r="B56" s="3460"/>
      <c r="C56" s="3461"/>
      <c r="D56" s="3456"/>
      <c r="E56" s="3456"/>
      <c r="F56" s="3456"/>
      <c r="G56" s="3456"/>
      <c r="H56" s="3456"/>
      <c r="I56" s="3456"/>
      <c r="J56" s="3456"/>
      <c r="K56" s="3457"/>
      <c r="L56" s="3458"/>
      <c r="M56" s="3456"/>
      <c r="N56" s="3456"/>
      <c r="O56" s="3456"/>
      <c r="P56" s="3605"/>
    </row>
    <row r="57" spans="1:29">
      <c r="A57" s="3437"/>
      <c r="B57" s="3460"/>
      <c r="C57" s="3461"/>
      <c r="D57" s="3437"/>
      <c r="E57" s="3437"/>
      <c r="F57" s="3437"/>
      <c r="G57" s="3437"/>
      <c r="H57" s="3437"/>
      <c r="I57" s="3437"/>
      <c r="J57" s="3437"/>
      <c r="K57" s="3451"/>
      <c r="L57" s="3452"/>
      <c r="M57" s="3437"/>
      <c r="N57" s="3437"/>
      <c r="O57" s="3437"/>
    </row>
    <row r="58" spans="1:29" ht="21" thickBot="1">
      <c r="A58" s="3462" t="s">
        <v>3735</v>
      </c>
      <c r="B58" s="3438"/>
      <c r="C58" s="3463"/>
      <c r="D58" s="3463"/>
      <c r="E58" s="3463"/>
      <c r="F58" s="3464"/>
      <c r="G58" s="3464"/>
      <c r="H58" s="3463"/>
      <c r="I58" s="3463"/>
      <c r="J58" s="3463"/>
      <c r="K58" s="3465"/>
      <c r="L58" s="3466"/>
      <c r="M58" s="3467"/>
      <c r="N58" s="3467"/>
      <c r="O58" s="3467"/>
      <c r="P58" s="3604"/>
      <c r="Q58" s="3483"/>
    </row>
    <row r="59" spans="1:29" s="3472" customFormat="1" ht="15">
      <c r="A59" s="3468" t="s">
        <v>3736</v>
      </c>
      <c r="B59" s="3469"/>
      <c r="C59" s="3470" t="str">
        <f>YEAR(C7)&amp;"-"&amp;MONTH(C7)</f>
        <v>2018-1</v>
      </c>
      <c r="D59" s="3471">
        <f t="shared" ref="D59:O59" si="16">EDATE(C59,-1)</f>
        <v>43070</v>
      </c>
      <c r="E59" s="3471">
        <f t="shared" si="16"/>
        <v>43040</v>
      </c>
      <c r="F59" s="3471">
        <f t="shared" si="16"/>
        <v>43009</v>
      </c>
      <c r="G59" s="3471">
        <f t="shared" si="16"/>
        <v>42979</v>
      </c>
      <c r="H59" s="3471">
        <f t="shared" si="16"/>
        <v>42948</v>
      </c>
      <c r="I59" s="3471">
        <f t="shared" si="16"/>
        <v>42917</v>
      </c>
      <c r="J59" s="3471">
        <f t="shared" si="16"/>
        <v>42887</v>
      </c>
      <c r="K59" s="3471">
        <f t="shared" si="16"/>
        <v>42856</v>
      </c>
      <c r="L59" s="3471">
        <f t="shared" si="16"/>
        <v>42826</v>
      </c>
      <c r="M59" s="3471">
        <f t="shared" si="16"/>
        <v>42795</v>
      </c>
      <c r="N59" s="3471">
        <f t="shared" si="16"/>
        <v>42767</v>
      </c>
      <c r="O59" s="3471">
        <f t="shared" si="16"/>
        <v>42736</v>
      </c>
      <c r="P59" s="3603"/>
    </row>
    <row r="60" spans="1:29" s="3344" customFormat="1" ht="14.25">
      <c r="A60" s="3473"/>
      <c r="B60" s="3474"/>
      <c r="C60" s="3475">
        <v>100</v>
      </c>
      <c r="D60" s="3476">
        <v>99.5</v>
      </c>
      <c r="E60" s="3476">
        <v>99</v>
      </c>
      <c r="F60" s="3476">
        <v>98.5</v>
      </c>
      <c r="G60" s="3476">
        <v>98</v>
      </c>
      <c r="H60" s="3476">
        <v>97.5</v>
      </c>
      <c r="I60" s="3476">
        <v>97</v>
      </c>
      <c r="J60" s="3476">
        <v>96.5</v>
      </c>
      <c r="K60" s="3476">
        <v>96</v>
      </c>
      <c r="L60" s="3476">
        <v>95.5</v>
      </c>
      <c r="M60" s="3477">
        <v>95</v>
      </c>
      <c r="N60" s="3476">
        <v>94.5</v>
      </c>
      <c r="O60" s="3477">
        <v>94</v>
      </c>
      <c r="P60" s="3601"/>
    </row>
    <row r="61" spans="1:29" s="3344" customFormat="1" ht="15" thickBot="1">
      <c r="A61" s="3478" t="s">
        <v>3737</v>
      </c>
      <c r="B61" s="3479"/>
      <c r="C61" s="3480"/>
      <c r="D61" s="3481"/>
      <c r="E61" s="3481"/>
      <c r="F61" s="3481"/>
      <c r="G61" s="3481"/>
      <c r="H61" s="3481"/>
      <c r="I61" s="3481"/>
      <c r="J61" s="3481"/>
      <c r="K61" s="3481"/>
      <c r="L61" s="3481"/>
      <c r="M61" s="3482"/>
      <c r="N61" s="3481"/>
      <c r="O61" s="3482"/>
      <c r="P61" s="3601"/>
      <c r="Q61" s="3483"/>
    </row>
    <row r="62" spans="1:29" s="3344" customFormat="1">
      <c r="A62" s="3484" t="s">
        <v>3738</v>
      </c>
      <c r="B62" s="3474"/>
      <c r="C62" s="3485" t="s">
        <v>3739</v>
      </c>
      <c r="D62" s="3486" t="s">
        <v>3740</v>
      </c>
      <c r="E62" s="3486"/>
      <c r="F62" s="3486"/>
      <c r="G62" s="3486"/>
      <c r="H62" s="3486"/>
      <c r="I62" s="3486"/>
      <c r="J62" s="3486"/>
      <c r="K62" s="3486"/>
      <c r="L62" s="3487"/>
      <c r="M62" s="3488"/>
      <c r="N62" s="3489"/>
      <c r="O62" s="3489"/>
      <c r="P62" s="3602"/>
      <c r="Q62" s="3483"/>
    </row>
    <row r="63" spans="1:29" s="3344" customFormat="1" ht="15" thickBot="1">
      <c r="A63" s="3484"/>
      <c r="B63" s="3474"/>
      <c r="C63" s="3490">
        <v>100</v>
      </c>
      <c r="D63" s="3476">
        <v>99</v>
      </c>
      <c r="E63" s="3476"/>
      <c r="F63" s="3476"/>
      <c r="G63" s="3476"/>
      <c r="H63" s="3476"/>
      <c r="I63" s="3476"/>
      <c r="J63" s="3476"/>
      <c r="K63" s="3476"/>
      <c r="L63" s="3476"/>
      <c r="M63" s="3491"/>
      <c r="N63" s="3489"/>
      <c r="O63" s="3489"/>
      <c r="P63" s="3601"/>
      <c r="Q63" s="3483"/>
    </row>
    <row r="64" spans="1:29">
      <c r="A64" s="3492" t="s">
        <v>3707</v>
      </c>
      <c r="B64" s="3493" t="s">
        <v>3708</v>
      </c>
      <c r="C64" s="3494" t="str">
        <f>C9</f>
        <v>办公</v>
      </c>
      <c r="D64" s="3495" t="s">
        <v>3741</v>
      </c>
      <c r="E64" s="3495"/>
      <c r="F64" s="3495"/>
      <c r="G64" s="3495"/>
      <c r="H64" s="3495"/>
      <c r="I64" s="3495"/>
      <c r="J64" s="3495"/>
      <c r="K64" s="3496"/>
      <c r="L64" s="3497"/>
      <c r="M64" s="3498"/>
      <c r="N64" s="3499"/>
      <c r="O64" s="3499"/>
      <c r="P64" s="3589"/>
      <c r="Q64" s="3483"/>
    </row>
    <row r="65" spans="1:17" ht="15" thickBot="1">
      <c r="A65" s="3500"/>
      <c r="B65" s="3501"/>
      <c r="C65" s="3502">
        <v>100</v>
      </c>
      <c r="D65" s="3502">
        <v>95</v>
      </c>
      <c r="E65" s="3502"/>
      <c r="F65" s="3502"/>
      <c r="G65" s="3502"/>
      <c r="H65" s="3502"/>
      <c r="I65" s="3502"/>
      <c r="J65" s="3502"/>
      <c r="K65" s="3502"/>
      <c r="L65" s="3502"/>
      <c r="M65" s="3503"/>
      <c r="N65" s="3504"/>
      <c r="O65" s="3504"/>
      <c r="P65" s="3589"/>
      <c r="Q65" s="3483"/>
    </row>
    <row r="66" spans="1:17" ht="27.75" thickTop="1">
      <c r="A66" s="3500"/>
      <c r="B66" s="3505" t="s">
        <v>3742</v>
      </c>
      <c r="C66" s="3506" t="s">
        <v>3743</v>
      </c>
      <c r="D66" s="3506" t="s">
        <v>3744</v>
      </c>
      <c r="E66" s="3506" t="s">
        <v>3745</v>
      </c>
      <c r="F66" s="3506" t="s">
        <v>3746</v>
      </c>
      <c r="G66" s="3506" t="s">
        <v>3747</v>
      </c>
      <c r="H66" s="3506" t="s">
        <v>3748</v>
      </c>
      <c r="I66" s="3506" t="s">
        <v>3749</v>
      </c>
      <c r="J66" s="3506"/>
      <c r="K66" s="3507"/>
      <c r="L66" s="3508"/>
      <c r="M66" s="3509"/>
      <c r="N66" s="3499"/>
      <c r="O66" s="3499"/>
      <c r="P66" s="3589"/>
      <c r="Q66" s="3483"/>
    </row>
    <row r="67" spans="1:17" ht="15" thickBot="1">
      <c r="A67" s="3500"/>
      <c r="B67" s="3510"/>
      <c r="C67" s="3511" t="s">
        <v>3750</v>
      </c>
      <c r="D67" s="3511" t="s">
        <v>3750</v>
      </c>
      <c r="E67" s="3511">
        <v>100</v>
      </c>
      <c r="F67" s="3511">
        <f>E67-$K10</f>
        <v>99</v>
      </c>
      <c r="G67" s="3511">
        <f>F67-$K10</f>
        <v>98</v>
      </c>
      <c r="H67" s="3511">
        <f>G67-$K10</f>
        <v>97</v>
      </c>
      <c r="I67" s="3511">
        <f>H67-$K10</f>
        <v>96</v>
      </c>
      <c r="J67" s="3511"/>
      <c r="K67" s="3511"/>
      <c r="L67" s="3511"/>
      <c r="M67" s="3512"/>
      <c r="N67" s="3504"/>
      <c r="O67" s="3504"/>
      <c r="P67" s="3589"/>
      <c r="Q67" s="3483"/>
    </row>
    <row r="68" spans="1:17" ht="15" thickTop="1">
      <c r="A68" s="3500"/>
      <c r="B68" s="3513" t="s">
        <v>3751</v>
      </c>
      <c r="C68" s="3514" t="str">
        <f t="shared" ref="C68:L68" si="17">C69&amp;"（含）"&amp;"-"&amp;D69</f>
        <v>0（含）-1</v>
      </c>
      <c r="D68" s="3514" t="str">
        <f t="shared" si="17"/>
        <v>1（含）-2</v>
      </c>
      <c r="E68" s="3514" t="str">
        <f t="shared" si="17"/>
        <v>2（含）-3</v>
      </c>
      <c r="F68" s="3514" t="str">
        <f t="shared" si="17"/>
        <v>3（含）-4</v>
      </c>
      <c r="G68" s="3514" t="str">
        <f t="shared" si="17"/>
        <v>4（含）-</v>
      </c>
      <c r="H68" s="3514" t="str">
        <f t="shared" si="17"/>
        <v>（含）-</v>
      </c>
      <c r="I68" s="3514" t="str">
        <f t="shared" si="17"/>
        <v>（含）-</v>
      </c>
      <c r="J68" s="3514" t="str">
        <f t="shared" si="17"/>
        <v>（含）-</v>
      </c>
      <c r="K68" s="3514" t="str">
        <f t="shared" si="17"/>
        <v>（含）-</v>
      </c>
      <c r="L68" s="3514" t="str">
        <f t="shared" si="17"/>
        <v>（含）-</v>
      </c>
      <c r="M68" s="3392" t="str">
        <f>M69&amp;"（含）"&amp;"-"&amp;P69</f>
        <v>（含）-</v>
      </c>
      <c r="N68" s="3504"/>
      <c r="O68" s="3504"/>
      <c r="P68" s="3589"/>
      <c r="Q68" s="3483"/>
    </row>
    <row r="69" spans="1:17" ht="14.25">
      <c r="A69" s="3500"/>
      <c r="B69" s="3515"/>
      <c r="C69" s="3516">
        <v>0</v>
      </c>
      <c r="D69" s="3516">
        <v>1</v>
      </c>
      <c r="E69" s="3516">
        <v>2</v>
      </c>
      <c r="F69" s="3516">
        <v>3</v>
      </c>
      <c r="G69" s="3516">
        <v>4</v>
      </c>
      <c r="H69" s="3516"/>
      <c r="I69" s="3516"/>
      <c r="J69" s="3516"/>
      <c r="K69" s="3517"/>
      <c r="L69" s="3518"/>
      <c r="M69" s="3519"/>
      <c r="N69" s="3499"/>
      <c r="O69" s="3499"/>
      <c r="P69" s="3589"/>
      <c r="Q69" s="3483"/>
    </row>
    <row r="70" spans="1:17" ht="15" thickBot="1">
      <c r="A70" s="3500"/>
      <c r="B70" s="3501"/>
      <c r="C70" s="3511">
        <v>100</v>
      </c>
      <c r="D70" s="3511">
        <f t="shared" ref="D70:M70" si="18">C70-$K11</f>
        <v>97</v>
      </c>
      <c r="E70" s="3511">
        <f t="shared" si="18"/>
        <v>94</v>
      </c>
      <c r="F70" s="3511">
        <f t="shared" si="18"/>
        <v>91</v>
      </c>
      <c r="G70" s="3511">
        <f t="shared" si="18"/>
        <v>88</v>
      </c>
      <c r="H70" s="3511">
        <f t="shared" si="18"/>
        <v>85</v>
      </c>
      <c r="I70" s="3511">
        <f t="shared" si="18"/>
        <v>82</v>
      </c>
      <c r="J70" s="3511">
        <f t="shared" si="18"/>
        <v>79</v>
      </c>
      <c r="K70" s="3511">
        <f t="shared" si="18"/>
        <v>76</v>
      </c>
      <c r="L70" s="3511">
        <f t="shared" si="18"/>
        <v>73</v>
      </c>
      <c r="M70" s="3512">
        <f t="shared" si="18"/>
        <v>70</v>
      </c>
      <c r="N70" s="3504"/>
      <c r="O70" s="3504"/>
      <c r="P70" s="3589"/>
      <c r="Q70" s="3483"/>
    </row>
    <row r="71" spans="1:17" s="3419" customFormat="1" ht="14.25" thickTop="1">
      <c r="A71" s="3520"/>
      <c r="B71" s="3505">
        <f>B12</f>
        <v>111</v>
      </c>
      <c r="C71" s="3521">
        <v>111</v>
      </c>
      <c r="D71" s="3521">
        <v>222</v>
      </c>
      <c r="E71" s="3521">
        <v>333</v>
      </c>
      <c r="F71" s="3521">
        <v>444</v>
      </c>
      <c r="G71" s="3521"/>
      <c r="H71" s="3522"/>
      <c r="I71" s="3522"/>
      <c r="J71" s="3522"/>
      <c r="K71" s="3522"/>
      <c r="L71" s="3523"/>
      <c r="M71" s="3524"/>
      <c r="N71" s="3525"/>
      <c r="O71" s="3525"/>
      <c r="P71" s="3590"/>
      <c r="Q71" s="3526"/>
    </row>
    <row r="72" spans="1:17" s="3419" customFormat="1" ht="15" thickBot="1">
      <c r="A72" s="3520"/>
      <c r="B72" s="3510"/>
      <c r="C72" s="3527">
        <v>100</v>
      </c>
      <c r="D72" s="3502">
        <v>101</v>
      </c>
      <c r="E72" s="3502">
        <v>102</v>
      </c>
      <c r="F72" s="3502">
        <v>103</v>
      </c>
      <c r="G72" s="3502"/>
      <c r="H72" s="3502"/>
      <c r="I72" s="3502"/>
      <c r="J72" s="3502"/>
      <c r="K72" s="3502"/>
      <c r="L72" s="3502"/>
      <c r="M72" s="3503"/>
      <c r="N72" s="3504"/>
      <c r="O72" s="3504"/>
      <c r="P72" s="3590"/>
      <c r="Q72" s="3526"/>
    </row>
    <row r="73" spans="1:17" s="3419" customFormat="1" ht="14.25" thickTop="1">
      <c r="A73" s="3520"/>
      <c r="B73" s="3505">
        <f>B13</f>
        <v>111</v>
      </c>
      <c r="C73" s="3521">
        <v>111</v>
      </c>
      <c r="D73" s="3521">
        <v>222</v>
      </c>
      <c r="E73" s="3521">
        <v>333</v>
      </c>
      <c r="F73" s="3521">
        <v>444</v>
      </c>
      <c r="G73" s="3521"/>
      <c r="H73" s="3522"/>
      <c r="I73" s="3522"/>
      <c r="J73" s="3522"/>
      <c r="K73" s="3522"/>
      <c r="L73" s="3523"/>
      <c r="M73" s="3524"/>
      <c r="N73" s="3525"/>
      <c r="O73" s="3525"/>
      <c r="P73" s="3600"/>
      <c r="Q73" s="3528"/>
    </row>
    <row r="74" spans="1:17" s="3419" customFormat="1" ht="15" thickBot="1">
      <c r="A74" s="3520"/>
      <c r="B74" s="3510"/>
      <c r="C74" s="3527">
        <v>100</v>
      </c>
      <c r="D74" s="3527">
        <v>101</v>
      </c>
      <c r="E74" s="3527">
        <v>102</v>
      </c>
      <c r="F74" s="3527">
        <v>103</v>
      </c>
      <c r="G74" s="3527"/>
      <c r="H74" s="3529"/>
      <c r="I74" s="3529"/>
      <c r="J74" s="3529"/>
      <c r="K74" s="3529"/>
      <c r="L74" s="3529"/>
      <c r="M74" s="3530"/>
      <c r="N74" s="3525"/>
      <c r="O74" s="3525"/>
      <c r="P74" s="3590"/>
      <c r="Q74" s="3526"/>
    </row>
    <row r="75" spans="1:17" s="3419" customFormat="1" ht="14.25" thickTop="1">
      <c r="A75" s="3520"/>
      <c r="B75" s="3513">
        <f>B14</f>
        <v>111</v>
      </c>
      <c r="C75" s="3486">
        <v>111</v>
      </c>
      <c r="D75" s="3486">
        <v>222</v>
      </c>
      <c r="E75" s="3486">
        <v>333</v>
      </c>
      <c r="F75" s="3486">
        <v>444</v>
      </c>
      <c r="G75" s="3486"/>
      <c r="H75" s="3531"/>
      <c r="I75" s="3531"/>
      <c r="J75" s="3531"/>
      <c r="K75" s="3531"/>
      <c r="L75" s="3532"/>
      <c r="M75" s="3533"/>
      <c r="N75" s="3525"/>
      <c r="O75" s="3525"/>
      <c r="P75" s="3599"/>
      <c r="Q75" s="3526"/>
    </row>
    <row r="76" spans="1:17" s="3419" customFormat="1" ht="15" thickBot="1">
      <c r="A76" s="3534"/>
      <c r="B76" s="3535"/>
      <c r="C76" s="3536">
        <v>100</v>
      </c>
      <c r="D76" s="3536">
        <v>98</v>
      </c>
      <c r="E76" s="3536">
        <v>96</v>
      </c>
      <c r="F76" s="3536">
        <v>94</v>
      </c>
      <c r="G76" s="3536"/>
      <c r="H76" s="3537"/>
      <c r="I76" s="3537"/>
      <c r="J76" s="3537"/>
      <c r="K76" s="3537"/>
      <c r="L76" s="3537"/>
      <c r="M76" s="3538"/>
      <c r="N76" s="3525"/>
      <c r="O76" s="3525"/>
      <c r="P76" s="3590"/>
      <c r="Q76" s="3526"/>
    </row>
    <row r="77" spans="1:17" ht="14.25">
      <c r="A77" s="3492" t="s">
        <v>3891</v>
      </c>
      <c r="B77" s="3493" t="s">
        <v>3890</v>
      </c>
      <c r="C77" s="3539" t="s">
        <v>3755</v>
      </c>
      <c r="D77" s="3539" t="s">
        <v>3756</v>
      </c>
      <c r="E77" s="3539" t="s">
        <v>3757</v>
      </c>
      <c r="F77" s="3539" t="s">
        <v>3758</v>
      </c>
      <c r="G77" s="3539" t="s">
        <v>3759</v>
      </c>
      <c r="H77" s="3540"/>
      <c r="I77" s="3540"/>
      <c r="J77" s="3540"/>
      <c r="K77" s="3541"/>
      <c r="L77" s="3542"/>
      <c r="M77" s="3543"/>
      <c r="N77" s="3499"/>
      <c r="O77" s="3499"/>
      <c r="P77" s="3598"/>
      <c r="Q77" s="3483"/>
    </row>
    <row r="78" spans="1:17" ht="15" thickBot="1">
      <c r="A78" s="3500"/>
      <c r="B78" s="3510"/>
      <c r="C78" s="3511">
        <v>100</v>
      </c>
      <c r="D78" s="3511">
        <f>C78-$K15</f>
        <v>98</v>
      </c>
      <c r="E78" s="3511">
        <f>D78-$K15</f>
        <v>96</v>
      </c>
      <c r="F78" s="3511">
        <f>E78-$K15</f>
        <v>94</v>
      </c>
      <c r="G78" s="3511">
        <f>F78-$K15</f>
        <v>92</v>
      </c>
      <c r="H78" s="3511"/>
      <c r="I78" s="3511"/>
      <c r="J78" s="3511"/>
      <c r="K78" s="3511"/>
      <c r="L78" s="3511"/>
      <c r="M78" s="3512"/>
      <c r="N78" s="3504"/>
      <c r="O78" s="3504"/>
      <c r="P78" s="3589"/>
      <c r="Q78" s="3483"/>
    </row>
    <row r="79" spans="1:17" ht="15" thickTop="1">
      <c r="A79" s="3500"/>
      <c r="B79" s="3505" t="s">
        <v>3889</v>
      </c>
      <c r="C79" s="3544" t="s">
        <v>3755</v>
      </c>
      <c r="D79" s="3544" t="s">
        <v>3756</v>
      </c>
      <c r="E79" s="3544" t="s">
        <v>3757</v>
      </c>
      <c r="F79" s="3544" t="s">
        <v>3758</v>
      </c>
      <c r="G79" s="3544" t="s">
        <v>3759</v>
      </c>
      <c r="H79" s="3506"/>
      <c r="I79" s="3506"/>
      <c r="J79" s="3506"/>
      <c r="K79" s="3507"/>
      <c r="L79" s="3508"/>
      <c r="M79" s="3509"/>
      <c r="N79" s="3499"/>
      <c r="O79" s="3499"/>
      <c r="P79" s="3589"/>
      <c r="Q79" s="3483"/>
    </row>
    <row r="80" spans="1:17" ht="15" thickBot="1">
      <c r="A80" s="3500"/>
      <c r="B80" s="3510"/>
      <c r="C80" s="3511">
        <v>100</v>
      </c>
      <c r="D80" s="3511">
        <f>C80-$K17</f>
        <v>97</v>
      </c>
      <c r="E80" s="3511">
        <f>D80-$K17</f>
        <v>94</v>
      </c>
      <c r="F80" s="3511">
        <f>E80-$K17</f>
        <v>91</v>
      </c>
      <c r="G80" s="3511">
        <f>F80-$K17</f>
        <v>88</v>
      </c>
      <c r="H80" s="3511"/>
      <c r="I80" s="3511"/>
      <c r="J80" s="3511"/>
      <c r="K80" s="3511"/>
      <c r="L80" s="3511"/>
      <c r="M80" s="3512"/>
      <c r="N80" s="3504"/>
      <c r="O80" s="3504"/>
      <c r="P80" s="3589"/>
      <c r="Q80" s="3483"/>
    </row>
    <row r="81" spans="1:17" ht="15" thickTop="1">
      <c r="A81" s="3500"/>
      <c r="B81" s="3505" t="s">
        <v>3888</v>
      </c>
      <c r="C81" s="3544" t="s">
        <v>3755</v>
      </c>
      <c r="D81" s="3544" t="s">
        <v>3756</v>
      </c>
      <c r="E81" s="3544" t="s">
        <v>3757</v>
      </c>
      <c r="F81" s="3544" t="s">
        <v>3758</v>
      </c>
      <c r="G81" s="3544" t="s">
        <v>3759</v>
      </c>
      <c r="H81" s="3506"/>
      <c r="I81" s="3506"/>
      <c r="J81" s="3506"/>
      <c r="K81" s="3507"/>
      <c r="L81" s="3508"/>
      <c r="M81" s="3509"/>
      <c r="N81" s="3499"/>
      <c r="O81" s="3499"/>
      <c r="P81" s="3589"/>
      <c r="Q81" s="3483"/>
    </row>
    <row r="82" spans="1:17" ht="15" thickBot="1">
      <c r="A82" s="3500"/>
      <c r="B82" s="3510"/>
      <c r="C82" s="3511">
        <v>100</v>
      </c>
      <c r="D82" s="3511">
        <f>C82-$K19</f>
        <v>98</v>
      </c>
      <c r="E82" s="3511">
        <f>D82-$K19</f>
        <v>96</v>
      </c>
      <c r="F82" s="3511">
        <f>E82-$K19</f>
        <v>94</v>
      </c>
      <c r="G82" s="3511">
        <f>F82-$K19</f>
        <v>92</v>
      </c>
      <c r="H82" s="3511"/>
      <c r="I82" s="3511"/>
      <c r="J82" s="3511"/>
      <c r="K82" s="3511"/>
      <c r="L82" s="3511"/>
      <c r="M82" s="3512"/>
      <c r="N82" s="3504"/>
      <c r="O82" s="3504"/>
      <c r="P82" s="3589"/>
      <c r="Q82" s="3483"/>
    </row>
    <row r="83" spans="1:17" ht="15" thickTop="1">
      <c r="A83" s="3500"/>
      <c r="B83" s="3513" t="s">
        <v>3887</v>
      </c>
      <c r="C83" s="3545" t="s">
        <v>3886</v>
      </c>
      <c r="D83" s="3545" t="s">
        <v>3885</v>
      </c>
      <c r="E83" s="3545" t="s">
        <v>3752</v>
      </c>
      <c r="F83" s="3545" t="s">
        <v>3753</v>
      </c>
      <c r="G83" s="3545" t="s">
        <v>3754</v>
      </c>
      <c r="H83" s="3506"/>
      <c r="I83" s="3506"/>
      <c r="J83" s="3506"/>
      <c r="K83" s="3506"/>
      <c r="L83" s="3506"/>
      <c r="M83" s="3546"/>
      <c r="N83" s="3504"/>
      <c r="O83" s="3504"/>
      <c r="P83" s="3589"/>
      <c r="Q83" s="3483"/>
    </row>
    <row r="84" spans="1:17" ht="15" thickBot="1">
      <c r="A84" s="3500"/>
      <c r="B84" s="3513"/>
      <c r="C84" s="3511">
        <v>100</v>
      </c>
      <c r="D84" s="3511">
        <f>C84-$K21</f>
        <v>98</v>
      </c>
      <c r="E84" s="3511">
        <f>D84-$K21</f>
        <v>96</v>
      </c>
      <c r="F84" s="3511">
        <f>E84-$K21</f>
        <v>94</v>
      </c>
      <c r="G84" s="3511">
        <f>F84-$K21</f>
        <v>92</v>
      </c>
      <c r="H84" s="3547"/>
      <c r="I84" s="3547"/>
      <c r="J84" s="3547"/>
      <c r="K84" s="3547"/>
      <c r="L84" s="3547"/>
      <c r="M84" s="3393"/>
      <c r="N84" s="3504"/>
      <c r="O84" s="3504"/>
      <c r="P84" s="3589"/>
      <c r="Q84" s="3483"/>
    </row>
    <row r="85" spans="1:17" ht="15" thickTop="1">
      <c r="A85" s="3500"/>
      <c r="B85" s="3505" t="s">
        <v>3884</v>
      </c>
      <c r="C85" s="3544" t="s">
        <v>3883</v>
      </c>
      <c r="D85" s="3544" t="s">
        <v>3882</v>
      </c>
      <c r="E85" s="3544" t="s">
        <v>3881</v>
      </c>
      <c r="F85" s="3544" t="s">
        <v>3880</v>
      </c>
      <c r="G85" s="3544" t="s">
        <v>3879</v>
      </c>
      <c r="H85" s="3506"/>
      <c r="I85" s="3506"/>
      <c r="J85" s="3506"/>
      <c r="K85" s="3507"/>
      <c r="L85" s="3508"/>
      <c r="M85" s="3509"/>
      <c r="N85" s="3499"/>
      <c r="O85" s="3499"/>
      <c r="P85" s="3589"/>
      <c r="Q85" s="3483"/>
    </row>
    <row r="86" spans="1:17" ht="15" thickBot="1">
      <c r="A86" s="3500"/>
      <c r="B86" s="3510"/>
      <c r="C86" s="3511">
        <v>100</v>
      </c>
      <c r="D86" s="3511">
        <f>C86-$K23</f>
        <v>97</v>
      </c>
      <c r="E86" s="3511">
        <f>D86-$K23</f>
        <v>94</v>
      </c>
      <c r="F86" s="3511">
        <f>E86-$K23</f>
        <v>91</v>
      </c>
      <c r="G86" s="3511">
        <f>F86-$K23</f>
        <v>88</v>
      </c>
      <c r="H86" s="3511"/>
      <c r="I86" s="3511"/>
      <c r="J86" s="3511"/>
      <c r="K86" s="3511"/>
      <c r="L86" s="3511"/>
      <c r="M86" s="3512"/>
      <c r="N86" s="3504"/>
      <c r="O86" s="3504"/>
      <c r="P86" s="3589"/>
      <c r="Q86" s="3483"/>
    </row>
    <row r="87" spans="1:17" s="3344" customFormat="1" ht="27.75" thickTop="1">
      <c r="A87" s="3548"/>
      <c r="B87" s="3505" t="s">
        <v>3878</v>
      </c>
      <c r="C87" s="3521" t="s">
        <v>3877</v>
      </c>
      <c r="D87" s="3521" t="s">
        <v>3876</v>
      </c>
      <c r="E87" s="3521" t="s">
        <v>3875</v>
      </c>
      <c r="F87" s="3521" t="s">
        <v>3874</v>
      </c>
      <c r="G87" s="3521" t="s">
        <v>3873</v>
      </c>
      <c r="H87" s="3521"/>
      <c r="I87" s="3521"/>
      <c r="J87" s="3521"/>
      <c r="K87" s="3521"/>
      <c r="L87" s="3549"/>
      <c r="M87" s="3550"/>
      <c r="N87" s="3489"/>
      <c r="O87" s="3489"/>
      <c r="P87" s="3589"/>
      <c r="Q87" s="3483"/>
    </row>
    <row r="88" spans="1:17" s="3344" customFormat="1" ht="15" thickBot="1">
      <c r="A88" s="3548"/>
      <c r="B88" s="3510"/>
      <c r="C88" s="3551">
        <v>100</v>
      </c>
      <c r="D88" s="3511">
        <f t="shared" ref="D88:M88" si="19">C88-$K25</f>
        <v>98</v>
      </c>
      <c r="E88" s="3511">
        <f t="shared" si="19"/>
        <v>96</v>
      </c>
      <c r="F88" s="3511">
        <f t="shared" si="19"/>
        <v>94</v>
      </c>
      <c r="G88" s="3511">
        <f t="shared" si="19"/>
        <v>92</v>
      </c>
      <c r="H88" s="3511">
        <f t="shared" si="19"/>
        <v>90</v>
      </c>
      <c r="I88" s="3511">
        <f t="shared" si="19"/>
        <v>88</v>
      </c>
      <c r="J88" s="3511">
        <f t="shared" si="19"/>
        <v>86</v>
      </c>
      <c r="K88" s="3511">
        <f t="shared" si="19"/>
        <v>84</v>
      </c>
      <c r="L88" s="3511">
        <f t="shared" si="19"/>
        <v>82</v>
      </c>
      <c r="M88" s="3511">
        <f t="shared" si="19"/>
        <v>80</v>
      </c>
      <c r="N88" s="3504"/>
      <c r="O88" s="3504"/>
      <c r="P88" s="3589"/>
      <c r="Q88" s="3483"/>
    </row>
    <row r="89" spans="1:17" s="3344" customFormat="1" ht="14.25" thickTop="1">
      <c r="A89" s="3548"/>
      <c r="B89" s="3505" t="str">
        <f>B27</f>
        <v>楼层</v>
      </c>
      <c r="C89" s="3521" t="s">
        <v>3872</v>
      </c>
      <c r="D89" s="3521" t="s">
        <v>3871</v>
      </c>
      <c r="E89" s="3521" t="s">
        <v>3870</v>
      </c>
      <c r="F89" s="3521" t="s">
        <v>3869</v>
      </c>
      <c r="G89" s="3521"/>
      <c r="H89" s="3521"/>
      <c r="I89" s="3521"/>
      <c r="J89" s="3521"/>
      <c r="K89" s="3521"/>
      <c r="L89" s="3521"/>
      <c r="M89" s="3550"/>
      <c r="N89" s="3489"/>
      <c r="O89" s="3489"/>
      <c r="P89" s="3589"/>
      <c r="Q89" s="3483"/>
    </row>
    <row r="90" spans="1:17" s="3344" customFormat="1" ht="15" thickBot="1">
      <c r="A90" s="3548"/>
      <c r="B90" s="3510"/>
      <c r="C90" s="3551">
        <v>100</v>
      </c>
      <c r="D90" s="3511">
        <f t="shared" ref="D90:M90" si="20">C90-$K27</f>
        <v>98</v>
      </c>
      <c r="E90" s="3511">
        <f t="shared" si="20"/>
        <v>96</v>
      </c>
      <c r="F90" s="3511">
        <f t="shared" si="20"/>
        <v>94</v>
      </c>
      <c r="G90" s="3511">
        <f t="shared" si="20"/>
        <v>92</v>
      </c>
      <c r="H90" s="3511">
        <f t="shared" si="20"/>
        <v>90</v>
      </c>
      <c r="I90" s="3511">
        <f t="shared" si="20"/>
        <v>88</v>
      </c>
      <c r="J90" s="3511">
        <f t="shared" si="20"/>
        <v>86</v>
      </c>
      <c r="K90" s="3511">
        <f t="shared" si="20"/>
        <v>84</v>
      </c>
      <c r="L90" s="3511">
        <f t="shared" si="20"/>
        <v>82</v>
      </c>
      <c r="M90" s="3511">
        <f t="shared" si="20"/>
        <v>80</v>
      </c>
      <c r="N90" s="3504"/>
      <c r="O90" s="3504"/>
      <c r="P90" s="3589"/>
      <c r="Q90" s="3483"/>
    </row>
    <row r="91" spans="1:17" s="3419" customFormat="1" ht="14.25" thickTop="1">
      <c r="A91" s="3520"/>
      <c r="B91" s="3505" t="str">
        <f>B28</f>
        <v>朝向</v>
      </c>
      <c r="C91" s="3521" t="s">
        <v>3868</v>
      </c>
      <c r="D91" s="3521" t="s">
        <v>3867</v>
      </c>
      <c r="E91" s="3521" t="s">
        <v>3866</v>
      </c>
      <c r="F91" s="3521" t="s">
        <v>3865</v>
      </c>
      <c r="G91" s="3521"/>
      <c r="H91" s="3522"/>
      <c r="I91" s="3522"/>
      <c r="J91" s="3522"/>
      <c r="K91" s="3522"/>
      <c r="L91" s="3523"/>
      <c r="M91" s="3524"/>
      <c r="N91" s="3525"/>
      <c r="O91" s="3525"/>
      <c r="P91" s="3590"/>
      <c r="Q91" s="3526"/>
    </row>
    <row r="92" spans="1:17" s="3419" customFormat="1" ht="15" thickBot="1">
      <c r="A92" s="3520"/>
      <c r="B92" s="3510"/>
      <c r="C92" s="3551">
        <v>100</v>
      </c>
      <c r="D92" s="3511">
        <f t="shared" ref="D92:M92" si="21">C92-$K28</f>
        <v>98</v>
      </c>
      <c r="E92" s="3511">
        <f t="shared" si="21"/>
        <v>96</v>
      </c>
      <c r="F92" s="3511">
        <f t="shared" si="21"/>
        <v>94</v>
      </c>
      <c r="G92" s="3511">
        <f t="shared" si="21"/>
        <v>92</v>
      </c>
      <c r="H92" s="3511">
        <f t="shared" si="21"/>
        <v>90</v>
      </c>
      <c r="I92" s="3511">
        <f t="shared" si="21"/>
        <v>88</v>
      </c>
      <c r="J92" s="3511">
        <f t="shared" si="21"/>
        <v>86</v>
      </c>
      <c r="K92" s="3511">
        <f t="shared" si="21"/>
        <v>84</v>
      </c>
      <c r="L92" s="3511">
        <f t="shared" si="21"/>
        <v>82</v>
      </c>
      <c r="M92" s="3511">
        <f t="shared" si="21"/>
        <v>80</v>
      </c>
      <c r="N92" s="3525"/>
      <c r="O92" s="3525"/>
      <c r="P92" s="3590"/>
      <c r="Q92" s="3526"/>
    </row>
    <row r="93" spans="1:17" ht="14.25" thickTop="1">
      <c r="A93" s="3500"/>
      <c r="B93" s="3505">
        <f>B29</f>
        <v>111</v>
      </c>
      <c r="C93" s="3521">
        <v>111</v>
      </c>
      <c r="D93" s="3521">
        <v>222</v>
      </c>
      <c r="E93" s="3521">
        <v>333</v>
      </c>
      <c r="F93" s="3521">
        <v>444</v>
      </c>
      <c r="G93" s="3521"/>
      <c r="H93" s="3521"/>
      <c r="I93" s="3521"/>
      <c r="J93" s="3521"/>
      <c r="K93" s="3521"/>
      <c r="L93" s="3549"/>
      <c r="M93" s="3550"/>
      <c r="N93" s="3499"/>
      <c r="O93" s="3499"/>
      <c r="P93" s="3589"/>
      <c r="Q93" s="3483"/>
    </row>
    <row r="94" spans="1:17" ht="15" thickBot="1">
      <c r="A94" s="3500"/>
      <c r="B94" s="3510"/>
      <c r="C94" s="3527">
        <v>100</v>
      </c>
      <c r="D94" s="3502">
        <v>101</v>
      </c>
      <c r="E94" s="3502">
        <v>102</v>
      </c>
      <c r="F94" s="3502">
        <v>103</v>
      </c>
      <c r="G94" s="3502"/>
      <c r="H94" s="3502"/>
      <c r="I94" s="3502"/>
      <c r="J94" s="3502"/>
      <c r="K94" s="3502"/>
      <c r="L94" s="3502"/>
      <c r="M94" s="3503"/>
      <c r="N94" s="3504"/>
      <c r="O94" s="3504"/>
      <c r="P94" s="3589"/>
      <c r="Q94" s="3483"/>
    </row>
    <row r="95" spans="1:17" ht="14.25" thickTop="1">
      <c r="A95" s="3500"/>
      <c r="B95" s="3505">
        <f>B30</f>
        <v>111</v>
      </c>
      <c r="C95" s="3521">
        <v>111</v>
      </c>
      <c r="D95" s="3521">
        <v>222</v>
      </c>
      <c r="E95" s="3521">
        <v>333</v>
      </c>
      <c r="F95" s="3521">
        <v>444</v>
      </c>
      <c r="G95" s="3552"/>
      <c r="H95" s="3552"/>
      <c r="I95" s="3552"/>
      <c r="J95" s="3552"/>
      <c r="K95" s="3553"/>
      <c r="L95" s="3554"/>
      <c r="M95" s="3555"/>
      <c r="N95" s="3499"/>
      <c r="O95" s="3499"/>
      <c r="P95" s="3589"/>
      <c r="Q95" s="3483"/>
    </row>
    <row r="96" spans="1:17" ht="15" thickBot="1">
      <c r="A96" s="3500"/>
      <c r="B96" s="3510"/>
      <c r="C96" s="3527">
        <v>100</v>
      </c>
      <c r="D96" s="3527">
        <v>101</v>
      </c>
      <c r="E96" s="3527">
        <v>102</v>
      </c>
      <c r="F96" s="3527">
        <v>103</v>
      </c>
      <c r="G96" s="3502"/>
      <c r="H96" s="3502"/>
      <c r="I96" s="3502"/>
      <c r="J96" s="3502"/>
      <c r="K96" s="3502"/>
      <c r="L96" s="3502"/>
      <c r="M96" s="3503"/>
      <c r="N96" s="3504"/>
      <c r="O96" s="3504"/>
      <c r="P96" s="3589"/>
      <c r="Q96" s="3483"/>
    </row>
    <row r="97" spans="1:17" ht="14.25" thickTop="1">
      <c r="A97" s="3500"/>
      <c r="B97" s="3505">
        <f>B31</f>
        <v>111</v>
      </c>
      <c r="C97" s="3521">
        <v>111</v>
      </c>
      <c r="D97" s="3521">
        <v>222</v>
      </c>
      <c r="E97" s="3521">
        <v>333</v>
      </c>
      <c r="F97" s="3521">
        <v>444</v>
      </c>
      <c r="G97" s="3552"/>
      <c r="H97" s="3552"/>
      <c r="I97" s="3552"/>
      <c r="J97" s="3552"/>
      <c r="K97" s="3553"/>
      <c r="L97" s="3554"/>
      <c r="M97" s="3555"/>
      <c r="N97" s="3499"/>
      <c r="O97" s="3499"/>
      <c r="P97" s="3589"/>
      <c r="Q97" s="3483"/>
    </row>
    <row r="98" spans="1:17" ht="15" thickBot="1">
      <c r="A98" s="3500"/>
      <c r="B98" s="3510"/>
      <c r="C98" s="3527">
        <v>100</v>
      </c>
      <c r="D98" s="3502">
        <v>101</v>
      </c>
      <c r="E98" s="3502">
        <v>102</v>
      </c>
      <c r="F98" s="3502">
        <v>103</v>
      </c>
      <c r="G98" s="3502"/>
      <c r="H98" s="3502"/>
      <c r="I98" s="3502"/>
      <c r="J98" s="3502"/>
      <c r="K98" s="3502"/>
      <c r="L98" s="3502"/>
      <c r="M98" s="3503"/>
      <c r="N98" s="3504"/>
      <c r="O98" s="3504"/>
      <c r="P98" s="3589"/>
      <c r="Q98" s="3483"/>
    </row>
    <row r="99" spans="1:17" ht="14.25" thickTop="1">
      <c r="A99" s="3500"/>
      <c r="B99" s="3513">
        <f>B32</f>
        <v>111</v>
      </c>
      <c r="C99" s="3486">
        <v>111</v>
      </c>
      <c r="D99" s="3486">
        <v>222</v>
      </c>
      <c r="E99" s="3486">
        <v>333</v>
      </c>
      <c r="F99" s="3486">
        <v>444</v>
      </c>
      <c r="G99" s="3556"/>
      <c r="H99" s="3556"/>
      <c r="I99" s="3556"/>
      <c r="J99" s="3556"/>
      <c r="K99" s="3557"/>
      <c r="L99" s="3558"/>
      <c r="M99" s="3559"/>
      <c r="N99" s="3499"/>
      <c r="O99" s="3499"/>
      <c r="P99" s="3589"/>
      <c r="Q99" s="3483"/>
    </row>
    <row r="100" spans="1:17" ht="15" thickBot="1">
      <c r="A100" s="3560"/>
      <c r="B100" s="3535"/>
      <c r="C100" s="3536">
        <v>100</v>
      </c>
      <c r="D100" s="3536">
        <v>98</v>
      </c>
      <c r="E100" s="3536">
        <v>96</v>
      </c>
      <c r="F100" s="3536">
        <v>94</v>
      </c>
      <c r="G100" s="3561"/>
      <c r="H100" s="3561"/>
      <c r="I100" s="3561"/>
      <c r="J100" s="3561"/>
      <c r="K100" s="3561"/>
      <c r="L100" s="3561"/>
      <c r="M100" s="3562"/>
      <c r="N100" s="3504"/>
      <c r="O100" s="3504"/>
      <c r="P100" s="3589"/>
      <c r="Q100" s="3483"/>
    </row>
    <row r="101" spans="1:17">
      <c r="A101" s="3492" t="s">
        <v>3864</v>
      </c>
      <c r="B101" s="3493" t="s">
        <v>3863</v>
      </c>
      <c r="C101" s="3495" t="s">
        <v>3862</v>
      </c>
      <c r="D101" s="3495" t="s">
        <v>3861</v>
      </c>
      <c r="E101" s="3495" t="s">
        <v>3860</v>
      </c>
      <c r="F101" s="3495" t="s">
        <v>3859</v>
      </c>
      <c r="G101" s="3495" t="s">
        <v>3858</v>
      </c>
      <c r="H101" s="3495" t="s">
        <v>3857</v>
      </c>
      <c r="I101" s="3495"/>
      <c r="J101" s="3495"/>
      <c r="K101" s="3496"/>
      <c r="L101" s="3497"/>
      <c r="M101" s="3498"/>
      <c r="N101" s="3499"/>
      <c r="O101" s="3499"/>
      <c r="P101" s="3589"/>
      <c r="Q101" s="3483"/>
    </row>
    <row r="102" spans="1:17" ht="15" thickBot="1">
      <c r="A102" s="3500"/>
      <c r="B102" s="3510"/>
      <c r="C102" s="3511">
        <v>100</v>
      </c>
      <c r="D102" s="3511">
        <f t="shared" ref="D102:M102" si="22">C102-$K33</f>
        <v>99</v>
      </c>
      <c r="E102" s="3511">
        <f t="shared" si="22"/>
        <v>98</v>
      </c>
      <c r="F102" s="3511">
        <f t="shared" si="22"/>
        <v>97</v>
      </c>
      <c r="G102" s="3511">
        <f t="shared" si="22"/>
        <v>96</v>
      </c>
      <c r="H102" s="3511">
        <f t="shared" si="22"/>
        <v>95</v>
      </c>
      <c r="I102" s="3511">
        <f t="shared" si="22"/>
        <v>94</v>
      </c>
      <c r="J102" s="3511">
        <f t="shared" si="22"/>
        <v>93</v>
      </c>
      <c r="K102" s="3511">
        <f t="shared" si="22"/>
        <v>92</v>
      </c>
      <c r="L102" s="3511">
        <f t="shared" si="22"/>
        <v>91</v>
      </c>
      <c r="M102" s="3512">
        <f t="shared" si="22"/>
        <v>90</v>
      </c>
      <c r="N102" s="3504"/>
      <c r="O102" s="3504"/>
      <c r="P102" s="3589"/>
      <c r="Q102" s="3483"/>
    </row>
    <row r="103" spans="1:17" ht="15" thickTop="1">
      <c r="A103" s="3500"/>
      <c r="B103" s="3505" t="s">
        <v>3760</v>
      </c>
      <c r="C103" s="3544" t="str">
        <f t="shared" ref="C103:L103" si="23">C104&amp;"(含)"&amp;"-"&amp;D104</f>
        <v>0(含)-</v>
      </c>
      <c r="D103" s="3544" t="str">
        <f t="shared" si="23"/>
        <v>(含)-</v>
      </c>
      <c r="E103" s="3544" t="str">
        <f t="shared" si="23"/>
        <v>(含)-</v>
      </c>
      <c r="F103" s="3544" t="str">
        <f t="shared" si="23"/>
        <v>(含)-</v>
      </c>
      <c r="G103" s="3544" t="str">
        <f t="shared" si="23"/>
        <v>(含)-</v>
      </c>
      <c r="H103" s="3544" t="str">
        <f t="shared" si="23"/>
        <v>(含)-</v>
      </c>
      <c r="I103" s="3544" t="str">
        <f t="shared" si="23"/>
        <v>(含)-</v>
      </c>
      <c r="J103" s="3544" t="str">
        <f t="shared" si="23"/>
        <v>(含)-</v>
      </c>
      <c r="K103" s="3544" t="str">
        <f t="shared" si="23"/>
        <v>(含)-</v>
      </c>
      <c r="L103" s="3544" t="str">
        <f t="shared" si="23"/>
        <v>(含)-</v>
      </c>
      <c r="M103" s="3563" t="str">
        <f>M104&amp;"(含)"&amp;"-"&amp;P104</f>
        <v>(含)-</v>
      </c>
      <c r="N103" s="3489"/>
      <c r="O103" s="3489"/>
      <c r="P103" s="3589"/>
      <c r="Q103" s="3483"/>
    </row>
    <row r="104" spans="1:17" s="3419" customFormat="1" ht="14.25">
      <c r="A104" s="3564"/>
      <c r="B104" s="3565"/>
      <c r="C104" s="3566">
        <v>0</v>
      </c>
      <c r="D104" s="3566"/>
      <c r="E104" s="3566"/>
      <c r="F104" s="3566"/>
      <c r="G104" s="3566"/>
      <c r="H104" s="3566"/>
      <c r="I104" s="3566"/>
      <c r="J104" s="3567"/>
      <c r="K104" s="3567"/>
      <c r="L104" s="3568"/>
      <c r="M104" s="3569"/>
      <c r="N104" s="3525"/>
      <c r="O104" s="3525"/>
      <c r="P104" s="3590"/>
      <c r="Q104" s="3526"/>
    </row>
    <row r="105" spans="1:17" s="3419" customFormat="1" ht="15" thickBot="1">
      <c r="A105" s="3520"/>
      <c r="B105" s="3510"/>
      <c r="C105" s="3527">
        <v>100</v>
      </c>
      <c r="D105" s="3502"/>
      <c r="E105" s="3502"/>
      <c r="F105" s="3502"/>
      <c r="G105" s="3502"/>
      <c r="H105" s="3502"/>
      <c r="I105" s="3502"/>
      <c r="J105" s="3502"/>
      <c r="K105" s="3502"/>
      <c r="L105" s="3502"/>
      <c r="M105" s="3503"/>
      <c r="N105" s="3504"/>
      <c r="O105" s="3504"/>
      <c r="P105" s="3590"/>
      <c r="Q105" s="3526"/>
    </row>
    <row r="106" spans="1:17" ht="14.25" thickTop="1">
      <c r="A106" s="3570"/>
      <c r="B106" s="3505" t="s">
        <v>3761</v>
      </c>
      <c r="C106" s="3521" t="s">
        <v>3762</v>
      </c>
      <c r="D106" s="3521" t="s">
        <v>3763</v>
      </c>
      <c r="E106" s="3552" t="s">
        <v>3856</v>
      </c>
      <c r="F106" s="3552"/>
      <c r="G106" s="3552"/>
      <c r="H106" s="3552"/>
      <c r="I106" s="3552"/>
      <c r="J106" s="3552"/>
      <c r="K106" s="3553"/>
      <c r="L106" s="3554"/>
      <c r="M106" s="3555"/>
      <c r="N106" s="3499"/>
      <c r="O106" s="3499"/>
      <c r="P106" s="3589"/>
      <c r="Q106" s="3483"/>
    </row>
    <row r="107" spans="1:17" ht="15" thickBot="1">
      <c r="A107" s="3500"/>
      <c r="B107" s="3510"/>
      <c r="C107" s="3511">
        <v>100</v>
      </c>
      <c r="D107" s="3511">
        <f t="shared" ref="D107:M107" si="24">C107-$K35</f>
        <v>98</v>
      </c>
      <c r="E107" s="3511">
        <f t="shared" si="24"/>
        <v>96</v>
      </c>
      <c r="F107" s="3511">
        <f t="shared" si="24"/>
        <v>94</v>
      </c>
      <c r="G107" s="3511">
        <f t="shared" si="24"/>
        <v>92</v>
      </c>
      <c r="H107" s="3511">
        <f t="shared" si="24"/>
        <v>90</v>
      </c>
      <c r="I107" s="3511">
        <f t="shared" si="24"/>
        <v>88</v>
      </c>
      <c r="J107" s="3511">
        <f t="shared" si="24"/>
        <v>86</v>
      </c>
      <c r="K107" s="3511">
        <f t="shared" si="24"/>
        <v>84</v>
      </c>
      <c r="L107" s="3511">
        <f t="shared" si="24"/>
        <v>82</v>
      </c>
      <c r="M107" s="3512">
        <f t="shared" si="24"/>
        <v>80</v>
      </c>
      <c r="N107" s="3504"/>
      <c r="O107" s="3504"/>
      <c r="P107" s="3589"/>
      <c r="Q107" s="3483"/>
    </row>
    <row r="108" spans="1:17" ht="14.25" thickTop="1">
      <c r="A108" s="3570"/>
      <c r="B108" s="3505" t="s">
        <v>3764</v>
      </c>
      <c r="C108" s="3521" t="s">
        <v>3765</v>
      </c>
      <c r="D108" s="3521" t="s">
        <v>3766</v>
      </c>
      <c r="E108" s="3521" t="s">
        <v>3767</v>
      </c>
      <c r="F108" s="3552" t="s">
        <v>3855</v>
      </c>
      <c r="G108" s="3552"/>
      <c r="H108" s="3552"/>
      <c r="I108" s="3552"/>
      <c r="J108" s="3552"/>
      <c r="K108" s="3553"/>
      <c r="L108" s="3554"/>
      <c r="M108" s="3555"/>
      <c r="N108" s="3499"/>
      <c r="O108" s="3499"/>
      <c r="P108" s="3589"/>
      <c r="Q108" s="3483"/>
    </row>
    <row r="109" spans="1:17" ht="15" thickBot="1">
      <c r="A109" s="3500"/>
      <c r="B109" s="3510"/>
      <c r="C109" s="3511">
        <v>100</v>
      </c>
      <c r="D109" s="3511">
        <f t="shared" ref="D109:M109" si="25">C109-$K36</f>
        <v>99</v>
      </c>
      <c r="E109" s="3511">
        <f t="shared" si="25"/>
        <v>98</v>
      </c>
      <c r="F109" s="3511">
        <f t="shared" si="25"/>
        <v>97</v>
      </c>
      <c r="G109" s="3511">
        <f t="shared" si="25"/>
        <v>96</v>
      </c>
      <c r="H109" s="3511">
        <f t="shared" si="25"/>
        <v>95</v>
      </c>
      <c r="I109" s="3511">
        <f t="shared" si="25"/>
        <v>94</v>
      </c>
      <c r="J109" s="3511">
        <f t="shared" si="25"/>
        <v>93</v>
      </c>
      <c r="K109" s="3511">
        <f t="shared" si="25"/>
        <v>92</v>
      </c>
      <c r="L109" s="3511">
        <f t="shared" si="25"/>
        <v>91</v>
      </c>
      <c r="M109" s="3512">
        <f t="shared" si="25"/>
        <v>90</v>
      </c>
      <c r="N109" s="3504"/>
      <c r="O109" s="3504"/>
      <c r="P109" s="3589"/>
      <c r="Q109" s="3483"/>
    </row>
    <row r="110" spans="1:17" ht="15" thickTop="1">
      <c r="A110" s="3570"/>
      <c r="B110" s="3505" t="s">
        <v>3768</v>
      </c>
      <c r="C110" s="3544" t="str">
        <f>C111&amp;"(含)"&amp;"-"&amp;D111</f>
        <v>0.5(含)-0.6</v>
      </c>
      <c r="D110" s="3544" t="str">
        <f>D111&amp;"(含)"&amp;"-"&amp;E111</f>
        <v>0.6(含)-0.7</v>
      </c>
      <c r="E110" s="3544" t="str">
        <f>E111&amp;"(含)"&amp;"-"&amp;F111</f>
        <v>0.7(含)-0.8</v>
      </c>
      <c r="F110" s="3544" t="str">
        <f>F111&amp;"(含)"&amp;"-"&amp;G111</f>
        <v>0.8(含)-0.9</v>
      </c>
      <c r="G110" s="3544" t="str">
        <f>G111&amp;"(含)"&amp;"-"&amp;ROUND(H111,0)&amp;"(含)"</f>
        <v>0.9(含)-1(含)</v>
      </c>
      <c r="H110" s="3544"/>
      <c r="I110" s="3552"/>
      <c r="J110" s="3552"/>
      <c r="K110" s="3553"/>
      <c r="L110" s="3554"/>
      <c r="M110" s="3555"/>
      <c r="N110" s="3499"/>
      <c r="O110" s="3499"/>
      <c r="P110" s="3589"/>
      <c r="Q110" s="3483"/>
    </row>
    <row r="111" spans="1:17" ht="14.25">
      <c r="A111" s="3570"/>
      <c r="B111" s="3513"/>
      <c r="C111" s="3215">
        <v>0.5</v>
      </c>
      <c r="D111" s="3215">
        <v>0.6</v>
      </c>
      <c r="E111" s="3215">
        <v>0.7</v>
      </c>
      <c r="F111" s="3215">
        <v>0.8</v>
      </c>
      <c r="G111" s="3215">
        <v>0.9</v>
      </c>
      <c r="H111" s="3215">
        <v>1.0001</v>
      </c>
      <c r="I111" s="3571"/>
      <c r="J111" s="3571"/>
      <c r="K111" s="3572"/>
      <c r="L111" s="3573"/>
      <c r="M111" s="3574"/>
      <c r="N111" s="3499"/>
      <c r="O111" s="3499"/>
      <c r="P111" s="3589"/>
      <c r="Q111" s="3483"/>
    </row>
    <row r="112" spans="1:17" ht="15" thickBot="1">
      <c r="A112" s="3500"/>
      <c r="B112" s="3510"/>
      <c r="C112" s="3551">
        <v>100</v>
      </c>
      <c r="D112" s="3511">
        <f t="shared" ref="D112:M112" si="26">C112+$K37</f>
        <v>101</v>
      </c>
      <c r="E112" s="3511">
        <f t="shared" si="26"/>
        <v>102</v>
      </c>
      <c r="F112" s="3511">
        <f t="shared" si="26"/>
        <v>103</v>
      </c>
      <c r="G112" s="3511">
        <f t="shared" si="26"/>
        <v>104</v>
      </c>
      <c r="H112" s="3511">
        <f t="shared" si="26"/>
        <v>105</v>
      </c>
      <c r="I112" s="3511">
        <f t="shared" si="26"/>
        <v>106</v>
      </c>
      <c r="J112" s="3511">
        <f t="shared" si="26"/>
        <v>107</v>
      </c>
      <c r="K112" s="3511">
        <f t="shared" si="26"/>
        <v>108</v>
      </c>
      <c r="L112" s="3511">
        <f t="shared" si="26"/>
        <v>109</v>
      </c>
      <c r="M112" s="3511">
        <f t="shared" si="26"/>
        <v>110</v>
      </c>
      <c r="N112" s="3504"/>
      <c r="O112" s="3504"/>
      <c r="P112" s="3589"/>
      <c r="Q112" s="3483"/>
    </row>
    <row r="113" spans="1:17" s="3419" customFormat="1" ht="14.25" thickTop="1">
      <c r="A113" s="3564"/>
      <c r="B113" s="3505" t="s">
        <v>3854</v>
      </c>
      <c r="C113" s="3521" t="s">
        <v>3853</v>
      </c>
      <c r="D113" s="3521" t="s">
        <v>3852</v>
      </c>
      <c r="E113" s="3521" t="s">
        <v>3851</v>
      </c>
      <c r="F113" s="3521"/>
      <c r="G113" s="3521"/>
      <c r="H113" s="3552"/>
      <c r="I113" s="3552"/>
      <c r="J113" s="3552"/>
      <c r="K113" s="3553"/>
      <c r="L113" s="3554"/>
      <c r="M113" s="3555"/>
      <c r="N113" s="3525"/>
      <c r="O113" s="3525"/>
      <c r="P113" s="3590"/>
      <c r="Q113" s="3526"/>
    </row>
    <row r="114" spans="1:17" s="3419" customFormat="1" ht="15" thickBot="1">
      <c r="A114" s="3520"/>
      <c r="B114" s="3510"/>
      <c r="C114" s="3511">
        <v>100</v>
      </c>
      <c r="D114" s="3511">
        <f t="shared" ref="D114:M114" si="27">C114-$K38</f>
        <v>96</v>
      </c>
      <c r="E114" s="3511">
        <f t="shared" si="27"/>
        <v>92</v>
      </c>
      <c r="F114" s="3511">
        <f t="shared" si="27"/>
        <v>88</v>
      </c>
      <c r="G114" s="3511">
        <f t="shared" si="27"/>
        <v>84</v>
      </c>
      <c r="H114" s="3511">
        <f t="shared" si="27"/>
        <v>80</v>
      </c>
      <c r="I114" s="3511">
        <f t="shared" si="27"/>
        <v>76</v>
      </c>
      <c r="J114" s="3511">
        <f t="shared" si="27"/>
        <v>72</v>
      </c>
      <c r="K114" s="3511">
        <f t="shared" si="27"/>
        <v>68</v>
      </c>
      <c r="L114" s="3511">
        <f t="shared" si="27"/>
        <v>64</v>
      </c>
      <c r="M114" s="3511">
        <f t="shared" si="27"/>
        <v>60</v>
      </c>
      <c r="N114" s="3525"/>
      <c r="O114" s="3525"/>
      <c r="P114" s="3590"/>
      <c r="Q114" s="3526"/>
    </row>
    <row r="115" spans="1:17" ht="14.25" thickTop="1">
      <c r="A115" s="3570"/>
      <c r="B115" s="3505" t="s">
        <v>3850</v>
      </c>
      <c r="C115" s="3521" t="s">
        <v>3849</v>
      </c>
      <c r="D115" s="3521" t="s">
        <v>3848</v>
      </c>
      <c r="E115" s="3552"/>
      <c r="F115" s="3552"/>
      <c r="G115" s="3552"/>
      <c r="H115" s="3552"/>
      <c r="I115" s="3552"/>
      <c r="J115" s="3552"/>
      <c r="K115" s="3553"/>
      <c r="L115" s="3554"/>
      <c r="M115" s="3555"/>
      <c r="N115" s="3499"/>
      <c r="O115" s="3499"/>
      <c r="P115" s="3589"/>
      <c r="Q115" s="3483"/>
    </row>
    <row r="116" spans="1:17" ht="15" thickBot="1">
      <c r="A116" s="3500"/>
      <c r="B116" s="3510"/>
      <c r="C116" s="3511">
        <v>100</v>
      </c>
      <c r="D116" s="3511">
        <f t="shared" ref="D116:M116" si="28">C116-$K39</f>
        <v>97</v>
      </c>
      <c r="E116" s="3511">
        <f t="shared" si="28"/>
        <v>94</v>
      </c>
      <c r="F116" s="3511">
        <f t="shared" si="28"/>
        <v>91</v>
      </c>
      <c r="G116" s="3511">
        <f t="shared" si="28"/>
        <v>88</v>
      </c>
      <c r="H116" s="3511">
        <f t="shared" si="28"/>
        <v>85</v>
      </c>
      <c r="I116" s="3511">
        <f t="shared" si="28"/>
        <v>82</v>
      </c>
      <c r="J116" s="3511">
        <f t="shared" si="28"/>
        <v>79</v>
      </c>
      <c r="K116" s="3511">
        <f t="shared" si="28"/>
        <v>76</v>
      </c>
      <c r="L116" s="3511">
        <f t="shared" si="28"/>
        <v>73</v>
      </c>
      <c r="M116" s="3512">
        <f t="shared" si="28"/>
        <v>70</v>
      </c>
      <c r="N116" s="3504"/>
      <c r="O116" s="3504"/>
      <c r="P116" s="3589"/>
      <c r="Q116" s="3483"/>
    </row>
    <row r="117" spans="1:17" ht="14.25" thickTop="1">
      <c r="A117" s="3570"/>
      <c r="B117" s="3505" t="s">
        <v>3847</v>
      </c>
      <c r="C117" s="3521" t="s">
        <v>3846</v>
      </c>
      <c r="D117" s="3521" t="s">
        <v>3845</v>
      </c>
      <c r="E117" s="3521" t="s">
        <v>3844</v>
      </c>
      <c r="F117" s="3521" t="s">
        <v>3843</v>
      </c>
      <c r="G117" s="3521" t="s">
        <v>3842</v>
      </c>
      <c r="H117" s="3552"/>
      <c r="I117" s="3552"/>
      <c r="J117" s="3552"/>
      <c r="K117" s="3553"/>
      <c r="L117" s="3554"/>
      <c r="M117" s="3555"/>
      <c r="N117" s="3499"/>
      <c r="O117" s="3499"/>
      <c r="P117" s="3589"/>
      <c r="Q117" s="3483"/>
    </row>
    <row r="118" spans="1:17" ht="15" thickBot="1">
      <c r="A118" s="3500"/>
      <c r="B118" s="3510"/>
      <c r="C118" s="3511">
        <v>100</v>
      </c>
      <c r="D118" s="3511">
        <f>C118-$K40</f>
        <v>99</v>
      </c>
      <c r="E118" s="3511">
        <f>D118-$K40</f>
        <v>98</v>
      </c>
      <c r="F118" s="3511">
        <f>E118-$K40</f>
        <v>97</v>
      </c>
      <c r="G118" s="3511">
        <f>F118-$K40</f>
        <v>96</v>
      </c>
      <c r="H118" s="3511"/>
      <c r="I118" s="3511"/>
      <c r="J118" s="3511"/>
      <c r="K118" s="3511"/>
      <c r="L118" s="3511"/>
      <c r="M118" s="3512"/>
      <c r="N118" s="3504"/>
      <c r="O118" s="3504"/>
      <c r="P118" s="3589"/>
      <c r="Q118" s="3483"/>
    </row>
    <row r="119" spans="1:17" ht="14.25" thickTop="1">
      <c r="A119" s="3570"/>
      <c r="B119" s="3597" t="s">
        <v>3841</v>
      </c>
      <c r="C119" s="3552" t="s">
        <v>3840</v>
      </c>
      <c r="D119" s="3552" t="s">
        <v>3839</v>
      </c>
      <c r="E119" s="3552"/>
      <c r="F119" s="3552"/>
      <c r="G119" s="3552"/>
      <c r="H119" s="3552"/>
      <c r="I119" s="3552"/>
      <c r="J119" s="3552"/>
      <c r="K119" s="3552"/>
      <c r="L119" s="3596"/>
      <c r="M119" s="3595"/>
      <c r="N119" s="3504"/>
      <c r="O119" s="3504"/>
      <c r="P119" s="3594"/>
      <c r="Q119" s="3593"/>
    </row>
    <row r="120" spans="1:17" ht="15" thickBot="1">
      <c r="A120" s="3500"/>
      <c r="B120" s="3510"/>
      <c r="C120" s="3551">
        <v>100</v>
      </c>
      <c r="D120" s="3511">
        <f t="shared" ref="D120:M120" si="29">C120-$K41</f>
        <v>98.5</v>
      </c>
      <c r="E120" s="3511">
        <f t="shared" si="29"/>
        <v>97</v>
      </c>
      <c r="F120" s="3511">
        <f t="shared" si="29"/>
        <v>95.5</v>
      </c>
      <c r="G120" s="3511">
        <f t="shared" si="29"/>
        <v>94</v>
      </c>
      <c r="H120" s="3511">
        <f t="shared" si="29"/>
        <v>92.5</v>
      </c>
      <c r="I120" s="3511">
        <f t="shared" si="29"/>
        <v>91</v>
      </c>
      <c r="J120" s="3511">
        <f t="shared" si="29"/>
        <v>89.5</v>
      </c>
      <c r="K120" s="3511">
        <f t="shared" si="29"/>
        <v>88</v>
      </c>
      <c r="L120" s="3511">
        <f t="shared" si="29"/>
        <v>86.5</v>
      </c>
      <c r="M120" s="3511">
        <f t="shared" si="29"/>
        <v>85</v>
      </c>
      <c r="N120" s="3504"/>
      <c r="O120" s="3504"/>
      <c r="P120" s="3589"/>
      <c r="Q120" s="3483"/>
    </row>
    <row r="121" spans="1:17" s="3419" customFormat="1" ht="15" thickTop="1">
      <c r="A121" s="3564"/>
      <c r="B121" s="3505" t="s">
        <v>3838</v>
      </c>
      <c r="C121" s="3592" t="s">
        <v>3837</v>
      </c>
      <c r="D121" s="3592" t="s">
        <v>3836</v>
      </c>
      <c r="E121" s="3592" t="s">
        <v>3835</v>
      </c>
      <c r="F121" s="3591" t="s">
        <v>3834</v>
      </c>
      <c r="G121" s="3575"/>
      <c r="H121" s="3575"/>
      <c r="I121" s="3575"/>
      <c r="J121" s="3575"/>
      <c r="K121" s="3575"/>
      <c r="L121" s="3576"/>
      <c r="M121" s="3577"/>
      <c r="N121" s="3525"/>
      <c r="O121" s="3525"/>
      <c r="P121" s="3590"/>
      <c r="Q121" s="3526"/>
    </row>
    <row r="122" spans="1:17" s="3419" customFormat="1" ht="15" thickBot="1">
      <c r="A122" s="3520"/>
      <c r="B122" s="3501"/>
      <c r="C122" s="3527">
        <v>100</v>
      </c>
      <c r="D122" s="3527">
        <v>105</v>
      </c>
      <c r="E122" s="3527">
        <v>103</v>
      </c>
      <c r="F122" s="3527">
        <v>98</v>
      </c>
      <c r="G122" s="3527"/>
      <c r="H122" s="3527"/>
      <c r="I122" s="3527"/>
      <c r="J122" s="3527"/>
      <c r="K122" s="3527"/>
      <c r="L122" s="3527"/>
      <c r="M122" s="3527"/>
      <c r="N122" s="3525"/>
      <c r="O122" s="3525"/>
      <c r="P122" s="3590"/>
      <c r="Q122" s="3526"/>
    </row>
    <row r="123" spans="1:17" ht="14.25" thickTop="1">
      <c r="A123" s="3570"/>
      <c r="B123" s="3505" t="s">
        <v>3833</v>
      </c>
      <c r="C123" s="3521" t="s">
        <v>3832</v>
      </c>
      <c r="D123" s="3521" t="s">
        <v>3831</v>
      </c>
      <c r="E123" s="3521" t="s">
        <v>3830</v>
      </c>
      <c r="F123" s="3552" t="s">
        <v>3829</v>
      </c>
      <c r="G123" s="3552"/>
      <c r="H123" s="3552"/>
      <c r="I123" s="3552"/>
      <c r="J123" s="3552"/>
      <c r="K123" s="3553"/>
      <c r="L123" s="3554"/>
      <c r="M123" s="3555"/>
      <c r="N123" s="3499"/>
      <c r="O123" s="3499"/>
      <c r="P123" s="3589"/>
      <c r="Q123" s="3483"/>
    </row>
    <row r="124" spans="1:17" ht="15" thickBot="1">
      <c r="A124" s="3500"/>
      <c r="B124" s="3510"/>
      <c r="C124" s="3511">
        <v>100</v>
      </c>
      <c r="D124" s="3511">
        <f t="shared" ref="D124:M124" si="30">C124-$K43</f>
        <v>99</v>
      </c>
      <c r="E124" s="3511">
        <f t="shared" si="30"/>
        <v>98</v>
      </c>
      <c r="F124" s="3511">
        <f t="shared" si="30"/>
        <v>97</v>
      </c>
      <c r="G124" s="3511">
        <f t="shared" si="30"/>
        <v>96</v>
      </c>
      <c r="H124" s="3511">
        <f t="shared" si="30"/>
        <v>95</v>
      </c>
      <c r="I124" s="3511">
        <f t="shared" si="30"/>
        <v>94</v>
      </c>
      <c r="J124" s="3511">
        <f t="shared" si="30"/>
        <v>93</v>
      </c>
      <c r="K124" s="3511">
        <f t="shared" si="30"/>
        <v>92</v>
      </c>
      <c r="L124" s="3511">
        <f t="shared" si="30"/>
        <v>91</v>
      </c>
      <c r="M124" s="3512">
        <f t="shared" si="30"/>
        <v>90</v>
      </c>
      <c r="N124" s="3504"/>
      <c r="O124" s="3504"/>
      <c r="P124" s="3589"/>
      <c r="Q124" s="3483"/>
    </row>
    <row r="125" spans="1:17" ht="27.75" thickTop="1">
      <c r="A125" s="3570"/>
      <c r="B125" s="3505" t="s">
        <v>3828</v>
      </c>
      <c r="C125" s="3544" t="s">
        <v>3827</v>
      </c>
      <c r="D125" s="3544" t="s">
        <v>3826</v>
      </c>
      <c r="E125" s="3544" t="s">
        <v>3825</v>
      </c>
      <c r="F125" s="3544" t="s">
        <v>3202</v>
      </c>
      <c r="G125" s="3544" t="s">
        <v>3824</v>
      </c>
      <c r="H125" s="3506"/>
      <c r="I125" s="3506"/>
      <c r="J125" s="3506"/>
      <c r="K125" s="3507"/>
      <c r="L125" s="3508"/>
      <c r="M125" s="3509"/>
      <c r="N125" s="3499"/>
      <c r="O125" s="3499"/>
      <c r="P125" s="3590"/>
      <c r="Q125" s="3483"/>
    </row>
    <row r="126" spans="1:17" ht="15" thickBot="1">
      <c r="A126" s="3500"/>
      <c r="B126" s="3510"/>
      <c r="C126" s="3511">
        <v>100</v>
      </c>
      <c r="D126" s="3511">
        <f>C126-$K44</f>
        <v>98</v>
      </c>
      <c r="E126" s="3511">
        <f>D126-$K44</f>
        <v>96</v>
      </c>
      <c r="F126" s="3511">
        <f>E126-$K44</f>
        <v>94</v>
      </c>
      <c r="G126" s="3511">
        <f>F126-$K44</f>
        <v>92</v>
      </c>
      <c r="H126" s="3511"/>
      <c r="I126" s="3511"/>
      <c r="J126" s="3511"/>
      <c r="K126" s="3511"/>
      <c r="L126" s="3511"/>
      <c r="M126" s="3512"/>
      <c r="N126" s="3504"/>
      <c r="O126" s="3504"/>
      <c r="P126" s="3589"/>
      <c r="Q126" s="3483"/>
    </row>
    <row r="127" spans="1:17" s="3419" customFormat="1" ht="14.25" thickTop="1">
      <c r="A127" s="3564"/>
      <c r="B127" s="3505">
        <f>B45</f>
        <v>111</v>
      </c>
      <c r="C127" s="3521">
        <v>111</v>
      </c>
      <c r="D127" s="3521">
        <v>222</v>
      </c>
      <c r="E127" s="3521">
        <v>333</v>
      </c>
      <c r="F127" s="3521">
        <v>444</v>
      </c>
      <c r="G127" s="3521"/>
      <c r="H127" s="3522"/>
      <c r="I127" s="3522"/>
      <c r="J127" s="3522"/>
      <c r="K127" s="3522"/>
      <c r="L127" s="3523"/>
      <c r="M127" s="3524"/>
      <c r="N127" s="3525"/>
      <c r="O127" s="3525"/>
      <c r="P127" s="3590"/>
      <c r="Q127" s="3526"/>
    </row>
    <row r="128" spans="1:17" s="3419" customFormat="1" ht="15" thickBot="1">
      <c r="A128" s="3520"/>
      <c r="B128" s="3510"/>
      <c r="C128" s="3527">
        <v>100</v>
      </c>
      <c r="D128" s="3502">
        <v>101</v>
      </c>
      <c r="E128" s="3502">
        <v>102</v>
      </c>
      <c r="F128" s="3502">
        <v>103</v>
      </c>
      <c r="G128" s="3527"/>
      <c r="H128" s="3529"/>
      <c r="I128" s="3529"/>
      <c r="J128" s="3529"/>
      <c r="K128" s="3529"/>
      <c r="L128" s="3529"/>
      <c r="M128" s="3530"/>
      <c r="N128" s="3525"/>
      <c r="O128" s="3525"/>
      <c r="P128" s="3590"/>
      <c r="Q128" s="3526"/>
    </row>
    <row r="129" spans="1:17" ht="14.25" thickTop="1">
      <c r="A129" s="3570"/>
      <c r="B129" s="3505">
        <f>B46</f>
        <v>111</v>
      </c>
      <c r="C129" s="3521">
        <v>111</v>
      </c>
      <c r="D129" s="3521">
        <v>222</v>
      </c>
      <c r="E129" s="3521">
        <v>333</v>
      </c>
      <c r="F129" s="3521">
        <v>444</v>
      </c>
      <c r="G129" s="3552"/>
      <c r="H129" s="3552"/>
      <c r="I129" s="3552"/>
      <c r="J129" s="3552"/>
      <c r="K129" s="3553"/>
      <c r="L129" s="3554"/>
      <c r="M129" s="3555"/>
      <c r="N129" s="3499"/>
      <c r="O129" s="3499"/>
      <c r="P129" s="3589"/>
      <c r="Q129" s="3483"/>
    </row>
    <row r="130" spans="1:17" ht="15" thickBot="1">
      <c r="A130" s="3500"/>
      <c r="B130" s="3510"/>
      <c r="C130" s="3527">
        <v>100</v>
      </c>
      <c r="D130" s="3527">
        <v>101</v>
      </c>
      <c r="E130" s="3527">
        <v>102</v>
      </c>
      <c r="F130" s="3527">
        <v>103</v>
      </c>
      <c r="G130" s="3502"/>
      <c r="H130" s="3502"/>
      <c r="I130" s="3502"/>
      <c r="J130" s="3502"/>
      <c r="K130" s="3502"/>
      <c r="L130" s="3502"/>
      <c r="M130" s="3503"/>
      <c r="N130" s="3504"/>
      <c r="O130" s="3504"/>
      <c r="P130" s="3589"/>
      <c r="Q130" s="3483"/>
    </row>
    <row r="131" spans="1:17" ht="14.25" thickTop="1">
      <c r="A131" s="3570"/>
      <c r="B131" s="3513">
        <f>B47</f>
        <v>111</v>
      </c>
      <c r="C131" s="3486">
        <v>111</v>
      </c>
      <c r="D131" s="3486">
        <v>222</v>
      </c>
      <c r="E131" s="3486">
        <v>333</v>
      </c>
      <c r="F131" s="3486">
        <v>444</v>
      </c>
      <c r="G131" s="3556"/>
      <c r="H131" s="3556"/>
      <c r="I131" s="3556"/>
      <c r="J131" s="3556"/>
      <c r="K131" s="3486"/>
      <c r="L131" s="3487"/>
      <c r="M131" s="3559"/>
      <c r="N131" s="3499"/>
      <c r="O131" s="3499"/>
      <c r="P131" s="3589"/>
      <c r="Q131" s="3483"/>
    </row>
    <row r="132" spans="1:17" ht="15" thickBot="1">
      <c r="A132" s="3560"/>
      <c r="B132" s="3535"/>
      <c r="C132" s="3536">
        <v>100</v>
      </c>
      <c r="D132" s="3536">
        <v>98</v>
      </c>
      <c r="E132" s="3536">
        <v>96</v>
      </c>
      <c r="F132" s="3536">
        <v>94</v>
      </c>
      <c r="G132" s="3561"/>
      <c r="H132" s="3561"/>
      <c r="I132" s="3561"/>
      <c r="J132" s="3561"/>
      <c r="K132" s="3561"/>
      <c r="L132" s="3561"/>
      <c r="M132" s="3562"/>
      <c r="N132" s="3504"/>
      <c r="O132" s="3504"/>
      <c r="P132" s="3589"/>
      <c r="Q132" s="3483"/>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11000.49</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64" t="s">
        <v>2647</v>
      </c>
      <c r="D4" s="3865"/>
      <c r="E4" s="3866" t="s">
        <v>2648</v>
      </c>
      <c r="F4" s="3867"/>
      <c r="G4" s="3864" t="s">
        <v>2649</v>
      </c>
      <c r="H4" s="3865"/>
      <c r="I4" s="3864" t="s">
        <v>2650</v>
      </c>
      <c r="J4" s="3865"/>
      <c r="K4" s="610" t="s">
        <v>2651</v>
      </c>
      <c r="L4" s="1129"/>
      <c r="M4" s="1130"/>
      <c r="N4" s="1130"/>
      <c r="O4" s="1130"/>
      <c r="P4" s="4019" t="s">
        <v>2652</v>
      </c>
      <c r="Q4" s="4020"/>
      <c r="R4" s="4023" t="s">
        <v>2648</v>
      </c>
      <c r="S4" s="4024"/>
      <c r="T4" s="4023" t="s">
        <v>2649</v>
      </c>
      <c r="U4" s="4024"/>
      <c r="V4" s="4025" t="s">
        <v>2650</v>
      </c>
      <c r="W4" s="4025"/>
      <c r="X4" s="2669"/>
      <c r="Y4" s="4023" t="s">
        <v>2652</v>
      </c>
      <c r="Z4" s="4024"/>
      <c r="AA4" s="4027" t="s">
        <v>2648</v>
      </c>
      <c r="AB4" s="4027" t="s">
        <v>2649</v>
      </c>
      <c r="AC4" s="4016" t="s">
        <v>2650</v>
      </c>
    </row>
    <row r="5" spans="1:29" ht="15">
      <c r="A5" s="404"/>
      <c r="B5" s="405"/>
      <c r="C5" s="3883" t="s">
        <v>2543</v>
      </c>
      <c r="D5" s="3884"/>
      <c r="E5" s="3890" t="s">
        <v>2544</v>
      </c>
      <c r="F5" s="3891"/>
      <c r="G5" s="3883" t="s">
        <v>2545</v>
      </c>
      <c r="H5" s="3884"/>
      <c r="I5" s="3883" t="s">
        <v>2546</v>
      </c>
      <c r="J5" s="3884"/>
      <c r="K5" s="610"/>
      <c r="L5" s="1129"/>
      <c r="M5" s="1130"/>
      <c r="N5" s="1130"/>
      <c r="O5" s="1130"/>
      <c r="P5" s="4021"/>
      <c r="Q5" s="3871"/>
      <c r="R5" s="3876"/>
      <c r="S5" s="3877"/>
      <c r="T5" s="3876"/>
      <c r="U5" s="3877"/>
      <c r="V5" s="3880"/>
      <c r="W5" s="3880"/>
      <c r="X5" s="1813"/>
      <c r="Y5" s="3876"/>
      <c r="Z5" s="3877"/>
      <c r="AA5" s="3862"/>
      <c r="AB5" s="3862"/>
      <c r="AC5" s="4017"/>
    </row>
    <row r="6" spans="1:29" ht="15.75" thickBot="1">
      <c r="A6" s="406"/>
      <c r="B6" s="407"/>
      <c r="C6" s="3881" t="s">
        <v>2547</v>
      </c>
      <c r="D6" s="3882"/>
      <c r="E6" s="3888" t="s">
        <v>2547</v>
      </c>
      <c r="F6" s="3889"/>
      <c r="G6" s="3881" t="s">
        <v>2547</v>
      </c>
      <c r="H6" s="3882"/>
      <c r="I6" s="3881" t="s">
        <v>2547</v>
      </c>
      <c r="J6" s="3882"/>
      <c r="K6" s="610" t="s">
        <v>2548</v>
      </c>
      <c r="L6" s="1129"/>
      <c r="M6" s="1130"/>
      <c r="N6" s="1130"/>
      <c r="O6" s="1130"/>
      <c r="P6" s="4022"/>
      <c r="Q6" s="3873"/>
      <c r="R6" s="3876"/>
      <c r="S6" s="3877"/>
      <c r="T6" s="3878"/>
      <c r="U6" s="3879"/>
      <c r="V6" s="3880"/>
      <c r="W6" s="3880"/>
      <c r="X6" s="1813"/>
      <c r="Y6" s="3878"/>
      <c r="Z6" s="3879"/>
      <c r="AA6" s="3863"/>
      <c r="AB6" s="3863"/>
      <c r="AC6" s="4018"/>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6" t="s">
        <v>2550</v>
      </c>
      <c r="Q7" s="3887"/>
      <c r="R7" s="770" t="s">
        <v>17</v>
      </c>
      <c r="S7" s="771">
        <f t="shared" ref="S7:S15" si="0">F7</f>
        <v>0</v>
      </c>
      <c r="T7" s="770" t="s">
        <v>17</v>
      </c>
      <c r="U7" s="771">
        <f t="shared" ref="U7:U15" si="1">H7</f>
        <v>0</v>
      </c>
      <c r="V7" s="770" t="s">
        <v>17</v>
      </c>
      <c r="W7" s="771">
        <f t="shared" ref="W7:W15" si="2">J7</f>
        <v>0</v>
      </c>
      <c r="X7" s="772"/>
      <c r="Y7" s="3885" t="s">
        <v>2550</v>
      </c>
      <c r="Z7" s="3886"/>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6" t="s">
        <v>2553</v>
      </c>
      <c r="Q8" s="3886"/>
      <c r="R8" s="770" t="s">
        <v>17</v>
      </c>
      <c r="S8" s="771">
        <f t="shared" si="0"/>
        <v>0</v>
      </c>
      <c r="T8" s="770" t="s">
        <v>17</v>
      </c>
      <c r="U8" s="771">
        <f t="shared" si="1"/>
        <v>0</v>
      </c>
      <c r="V8" s="770" t="s">
        <v>17</v>
      </c>
      <c r="W8" s="771">
        <f t="shared" si="2"/>
        <v>0</v>
      </c>
      <c r="X8" s="772"/>
      <c r="Y8" s="3885" t="s">
        <v>2553</v>
      </c>
      <c r="Z8" s="3886"/>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60" t="s">
        <v>2556</v>
      </c>
      <c r="Q9" s="1795" t="str">
        <f t="shared" ref="Q9:Q15" si="6">B9</f>
        <v>用途</v>
      </c>
      <c r="R9" s="770" t="s">
        <v>17</v>
      </c>
      <c r="S9" s="771">
        <f t="shared" si="0"/>
        <v>100</v>
      </c>
      <c r="T9" s="770" t="s">
        <v>17</v>
      </c>
      <c r="U9" s="771">
        <f t="shared" si="1"/>
        <v>100</v>
      </c>
      <c r="V9" s="770" t="s">
        <v>17</v>
      </c>
      <c r="W9" s="771">
        <f t="shared" si="2"/>
        <v>100</v>
      </c>
      <c r="X9" s="772"/>
      <c r="Y9" s="3704"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60"/>
      <c r="Q10" s="1795" t="str">
        <f t="shared" si="6"/>
        <v>土地使用年限（年）</v>
      </c>
      <c r="R10" s="770" t="s">
        <v>17</v>
      </c>
      <c r="S10" s="771">
        <f t="shared" si="0"/>
        <v>100</v>
      </c>
      <c r="T10" s="770" t="s">
        <v>17</v>
      </c>
      <c r="U10" s="771">
        <f t="shared" si="1"/>
        <v>100</v>
      </c>
      <c r="V10" s="770" t="s">
        <v>17</v>
      </c>
      <c r="W10" s="771">
        <f t="shared" si="2"/>
        <v>100</v>
      </c>
      <c r="X10" s="772"/>
      <c r="Y10" s="3704"/>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60"/>
      <c r="Q11" s="1795" t="str">
        <f t="shared" si="6"/>
        <v>容积率</v>
      </c>
      <c r="R11" s="770" t="s">
        <v>17</v>
      </c>
      <c r="S11" s="771" t="e">
        <f t="shared" si="0"/>
        <v>#N/A</v>
      </c>
      <c r="T11" s="770" t="s">
        <v>17</v>
      </c>
      <c r="U11" s="771" t="e">
        <f t="shared" si="1"/>
        <v>#N/A</v>
      </c>
      <c r="V11" s="770" t="s">
        <v>17</v>
      </c>
      <c r="W11" s="771" t="e">
        <f t="shared" si="2"/>
        <v>#N/A</v>
      </c>
      <c r="X11" s="772"/>
      <c r="Y11" s="370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60"/>
      <c r="Q12" s="1795">
        <f t="shared" si="6"/>
        <v>111</v>
      </c>
      <c r="R12" s="770" t="s">
        <v>17</v>
      </c>
      <c r="S12" s="771">
        <f t="shared" si="0"/>
        <v>100</v>
      </c>
      <c r="T12" s="770" t="s">
        <v>17</v>
      </c>
      <c r="U12" s="771">
        <f t="shared" si="1"/>
        <v>100</v>
      </c>
      <c r="V12" s="770" t="s">
        <v>17</v>
      </c>
      <c r="W12" s="771">
        <f t="shared" si="2"/>
        <v>100</v>
      </c>
      <c r="X12" s="772"/>
      <c r="Y12" s="370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60"/>
      <c r="Q13" s="1795">
        <f t="shared" si="6"/>
        <v>111</v>
      </c>
      <c r="R13" s="770" t="s">
        <v>17</v>
      </c>
      <c r="S13" s="771">
        <f t="shared" si="0"/>
        <v>100</v>
      </c>
      <c r="T13" s="770" t="s">
        <v>17</v>
      </c>
      <c r="U13" s="771">
        <f t="shared" si="1"/>
        <v>100</v>
      </c>
      <c r="V13" s="770" t="s">
        <v>17</v>
      </c>
      <c r="W13" s="771">
        <f t="shared" si="2"/>
        <v>100</v>
      </c>
      <c r="X13" s="772"/>
      <c r="Y13" s="370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60"/>
      <c r="Q14" s="1795">
        <f t="shared" si="6"/>
        <v>111</v>
      </c>
      <c r="R14" s="770" t="s">
        <v>17</v>
      </c>
      <c r="S14" s="771">
        <f t="shared" si="0"/>
        <v>100</v>
      </c>
      <c r="T14" s="770" t="s">
        <v>17</v>
      </c>
      <c r="U14" s="771">
        <f t="shared" si="1"/>
        <v>100</v>
      </c>
      <c r="V14" s="770" t="s">
        <v>17</v>
      </c>
      <c r="W14" s="771">
        <f t="shared" si="2"/>
        <v>100</v>
      </c>
      <c r="X14" s="772"/>
      <c r="Y14" s="3704"/>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58" t="s">
        <v>2561</v>
      </c>
      <c r="Q15" s="1810" t="str">
        <f t="shared" si="6"/>
        <v>办公集聚程度</v>
      </c>
      <c r="R15" s="774" t="s">
        <v>17</v>
      </c>
      <c r="S15" s="775">
        <f t="shared" si="0"/>
        <v>100</v>
      </c>
      <c r="T15" s="774" t="s">
        <v>17</v>
      </c>
      <c r="U15" s="775">
        <f t="shared" si="1"/>
        <v>100</v>
      </c>
      <c r="V15" s="774" t="s">
        <v>17</v>
      </c>
      <c r="W15" s="775">
        <f t="shared" si="2"/>
        <v>100</v>
      </c>
      <c r="X15" s="1813"/>
      <c r="Y15" s="3851"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59"/>
      <c r="Q16" s="1810"/>
      <c r="R16" s="774"/>
      <c r="S16" s="775"/>
      <c r="T16" s="774"/>
      <c r="U16" s="775"/>
      <c r="V16" s="774"/>
      <c r="W16" s="775"/>
      <c r="X16" s="1813"/>
      <c r="Y16" s="3852"/>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59"/>
      <c r="Q17" s="1810" t="str">
        <f>B17</f>
        <v>交通便捷度</v>
      </c>
      <c r="R17" s="774" t="s">
        <v>17</v>
      </c>
      <c r="S17" s="775">
        <f>F17</f>
        <v>100</v>
      </c>
      <c r="T17" s="774" t="s">
        <v>17</v>
      </c>
      <c r="U17" s="775">
        <f>H17</f>
        <v>100</v>
      </c>
      <c r="V17" s="774" t="s">
        <v>17</v>
      </c>
      <c r="W17" s="775">
        <f>J17</f>
        <v>100</v>
      </c>
      <c r="X17" s="1813"/>
      <c r="Y17" s="385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59"/>
      <c r="Q18" s="1810"/>
      <c r="R18" s="774"/>
      <c r="S18" s="775"/>
      <c r="T18" s="774"/>
      <c r="U18" s="775"/>
      <c r="V18" s="774"/>
      <c r="W18" s="775"/>
      <c r="X18" s="1813"/>
      <c r="Y18" s="3852"/>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59"/>
      <c r="Q19" s="1810" t="str">
        <f>B19</f>
        <v>公共配套设施</v>
      </c>
      <c r="R19" s="774" t="s">
        <v>17</v>
      </c>
      <c r="S19" s="775">
        <f>F19</f>
        <v>100</v>
      </c>
      <c r="T19" s="774" t="s">
        <v>17</v>
      </c>
      <c r="U19" s="775">
        <f>H19</f>
        <v>100</v>
      </c>
      <c r="V19" s="774" t="s">
        <v>17</v>
      </c>
      <c r="W19" s="775">
        <f>J19</f>
        <v>100</v>
      </c>
      <c r="X19" s="1813"/>
      <c r="Y19" s="385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59"/>
      <c r="Q20" s="1810"/>
      <c r="R20" s="774"/>
      <c r="S20" s="775"/>
      <c r="T20" s="774"/>
      <c r="U20" s="775"/>
      <c r="V20" s="774"/>
      <c r="W20" s="775"/>
      <c r="X20" s="1813"/>
      <c r="Y20" s="3852"/>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59"/>
      <c r="Q21" s="1810" t="str">
        <f>B21</f>
        <v>基础设施水平</v>
      </c>
      <c r="R21" s="774" t="s">
        <v>17</v>
      </c>
      <c r="S21" s="775">
        <f>F21</f>
        <v>100</v>
      </c>
      <c r="T21" s="774" t="s">
        <v>17</v>
      </c>
      <c r="U21" s="775">
        <f>H21</f>
        <v>100</v>
      </c>
      <c r="V21" s="774" t="s">
        <v>17</v>
      </c>
      <c r="W21" s="775">
        <f>J21</f>
        <v>100</v>
      </c>
      <c r="X21" s="1813"/>
      <c r="Y21" s="385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59"/>
      <c r="Q22" s="1810"/>
      <c r="R22" s="774"/>
      <c r="S22" s="775"/>
      <c r="T22" s="774"/>
      <c r="U22" s="775"/>
      <c r="V22" s="774"/>
      <c r="W22" s="775"/>
      <c r="X22" s="1813"/>
      <c r="Y22" s="3852"/>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59"/>
      <c r="Q23" s="1810" t="str">
        <f>B23</f>
        <v>环境质量</v>
      </c>
      <c r="R23" s="774" t="s">
        <v>17</v>
      </c>
      <c r="S23" s="775">
        <f>F23</f>
        <v>100</v>
      </c>
      <c r="T23" s="774" t="s">
        <v>17</v>
      </c>
      <c r="U23" s="775">
        <f>H23</f>
        <v>100</v>
      </c>
      <c r="V23" s="774" t="s">
        <v>17</v>
      </c>
      <c r="W23" s="775">
        <f>J23</f>
        <v>100</v>
      </c>
      <c r="X23" s="1813"/>
      <c r="Y23" s="385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59"/>
      <c r="Q24" s="1810"/>
      <c r="R24" s="774"/>
      <c r="S24" s="775"/>
      <c r="T24" s="774"/>
      <c r="U24" s="775"/>
      <c r="V24" s="774"/>
      <c r="W24" s="775"/>
      <c r="X24" s="1813"/>
      <c r="Y24" s="3852"/>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59"/>
      <c r="Q25" s="1810" t="str">
        <f>B25</f>
        <v>毗邻道路的类型与等级</v>
      </c>
      <c r="R25" s="774" t="s">
        <v>17</v>
      </c>
      <c r="S25" s="775">
        <f>F25</f>
        <v>100</v>
      </c>
      <c r="T25" s="774" t="s">
        <v>17</v>
      </c>
      <c r="U25" s="775">
        <f>H25</f>
        <v>100</v>
      </c>
      <c r="V25" s="774" t="s">
        <v>17</v>
      </c>
      <c r="W25" s="775">
        <f>J25</f>
        <v>100</v>
      </c>
      <c r="X25" s="1813"/>
      <c r="Y25" s="385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59"/>
      <c r="Q26" s="1810"/>
      <c r="R26" s="774"/>
      <c r="S26" s="775"/>
      <c r="T26" s="774"/>
      <c r="U26" s="775"/>
      <c r="V26" s="774"/>
      <c r="W26" s="775"/>
      <c r="X26" s="1813"/>
      <c r="Y26" s="3852"/>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59"/>
      <c r="Q27" s="1810" t="str">
        <f t="shared" ref="Q27:Q47" si="11">B27</f>
        <v>楼层</v>
      </c>
      <c r="R27" s="774" t="s">
        <v>17</v>
      </c>
      <c r="S27" s="775">
        <f>F27</f>
        <v>100</v>
      </c>
      <c r="T27" s="774" t="s">
        <v>17</v>
      </c>
      <c r="U27" s="775">
        <f>H27</f>
        <v>100</v>
      </c>
      <c r="V27" s="774" t="s">
        <v>17</v>
      </c>
      <c r="W27" s="775">
        <f>J27</f>
        <v>100</v>
      </c>
      <c r="X27" s="1813"/>
      <c r="Y27" s="3852"/>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59"/>
      <c r="Q28" s="1795" t="str">
        <f t="shared" si="11"/>
        <v>朝向</v>
      </c>
      <c r="R28" s="770" t="s">
        <v>17</v>
      </c>
      <c r="S28" s="771">
        <f>F28</f>
        <v>100</v>
      </c>
      <c r="T28" s="770" t="s">
        <v>17</v>
      </c>
      <c r="U28" s="771">
        <f>H28</f>
        <v>100</v>
      </c>
      <c r="V28" s="770" t="s">
        <v>17</v>
      </c>
      <c r="W28" s="771">
        <f>J28</f>
        <v>100</v>
      </c>
      <c r="X28" s="772"/>
      <c r="Y28" s="385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59"/>
      <c r="Q29" s="1810">
        <f t="shared" si="11"/>
        <v>111</v>
      </c>
      <c r="R29" s="774" t="s">
        <v>17</v>
      </c>
      <c r="S29" s="775">
        <f t="shared" ref="S29:S47" si="12">F29</f>
        <v>100</v>
      </c>
      <c r="T29" s="774" t="s">
        <v>17</v>
      </c>
      <c r="U29" s="775">
        <f t="shared" ref="U29:U47" si="13">H29</f>
        <v>100</v>
      </c>
      <c r="V29" s="774" t="s">
        <v>17</v>
      </c>
      <c r="W29" s="775">
        <f t="shared" ref="W29:W47" si="14">J29</f>
        <v>100</v>
      </c>
      <c r="X29" s="1813"/>
      <c r="Y29" s="385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59"/>
      <c r="Q30" s="1810">
        <f t="shared" si="11"/>
        <v>111</v>
      </c>
      <c r="R30" s="774" t="s">
        <v>17</v>
      </c>
      <c r="S30" s="775">
        <f t="shared" si="12"/>
        <v>100</v>
      </c>
      <c r="T30" s="774" t="s">
        <v>17</v>
      </c>
      <c r="U30" s="775">
        <f t="shared" si="13"/>
        <v>100</v>
      </c>
      <c r="V30" s="774" t="s">
        <v>17</v>
      </c>
      <c r="W30" s="775">
        <f t="shared" si="14"/>
        <v>100</v>
      </c>
      <c r="X30" s="1813"/>
      <c r="Y30" s="385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59"/>
      <c r="Q31" s="1810">
        <f t="shared" si="11"/>
        <v>111</v>
      </c>
      <c r="R31" s="774" t="s">
        <v>17</v>
      </c>
      <c r="S31" s="775">
        <f t="shared" si="12"/>
        <v>100</v>
      </c>
      <c r="T31" s="774" t="s">
        <v>17</v>
      </c>
      <c r="U31" s="775">
        <f t="shared" si="13"/>
        <v>100</v>
      </c>
      <c r="V31" s="774" t="s">
        <v>17</v>
      </c>
      <c r="W31" s="775">
        <f t="shared" si="14"/>
        <v>100</v>
      </c>
      <c r="X31" s="1813"/>
      <c r="Y31" s="3852"/>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59"/>
      <c r="Q32" s="1810">
        <f t="shared" si="11"/>
        <v>111</v>
      </c>
      <c r="R32" s="774" t="s">
        <v>17</v>
      </c>
      <c r="S32" s="775">
        <f t="shared" si="12"/>
        <v>100</v>
      </c>
      <c r="T32" s="774" t="s">
        <v>17</v>
      </c>
      <c r="U32" s="775">
        <f t="shared" si="13"/>
        <v>100</v>
      </c>
      <c r="V32" s="774" t="s">
        <v>17</v>
      </c>
      <c r="W32" s="775">
        <f t="shared" si="14"/>
        <v>100</v>
      </c>
      <c r="X32" s="1813"/>
      <c r="Y32" s="3852"/>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53" t="s">
        <v>2566</v>
      </c>
      <c r="Q33" s="1810" t="str">
        <f t="shared" si="11"/>
        <v>建筑类型</v>
      </c>
      <c r="R33" s="774" t="s">
        <v>17</v>
      </c>
      <c r="S33" s="775">
        <f t="shared" si="12"/>
        <v>100</v>
      </c>
      <c r="T33" s="774" t="s">
        <v>17</v>
      </c>
      <c r="U33" s="775">
        <f t="shared" si="13"/>
        <v>100</v>
      </c>
      <c r="V33" s="774" t="s">
        <v>17</v>
      </c>
      <c r="W33" s="775">
        <f t="shared" si="14"/>
        <v>100</v>
      </c>
      <c r="X33" s="1813"/>
      <c r="Y33" s="3856"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54"/>
      <c r="Q34" s="776" t="str">
        <f t="shared" si="11"/>
        <v>项目建筑规模</v>
      </c>
      <c r="R34" s="777" t="s">
        <v>17</v>
      </c>
      <c r="S34" s="778" t="e">
        <f t="shared" si="12"/>
        <v>#N/A</v>
      </c>
      <c r="T34" s="777" t="s">
        <v>17</v>
      </c>
      <c r="U34" s="778" t="e">
        <f t="shared" si="13"/>
        <v>#N/A</v>
      </c>
      <c r="V34" s="777" t="s">
        <v>17</v>
      </c>
      <c r="W34" s="778" t="e">
        <f t="shared" si="14"/>
        <v>#N/A</v>
      </c>
      <c r="X34" s="779"/>
      <c r="Y34" s="3856"/>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54"/>
      <c r="Q35" s="1810" t="str">
        <f t="shared" si="11"/>
        <v>建筑结构</v>
      </c>
      <c r="R35" s="774" t="s">
        <v>17</v>
      </c>
      <c r="S35" s="775">
        <f t="shared" si="12"/>
        <v>100</v>
      </c>
      <c r="T35" s="774" t="s">
        <v>17</v>
      </c>
      <c r="U35" s="775">
        <f t="shared" si="13"/>
        <v>100</v>
      </c>
      <c r="V35" s="774" t="s">
        <v>17</v>
      </c>
      <c r="W35" s="775">
        <f t="shared" si="14"/>
        <v>100</v>
      </c>
      <c r="X35" s="1813"/>
      <c r="Y35" s="3856"/>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54"/>
      <c r="Q36" s="1810" t="str">
        <f t="shared" si="11"/>
        <v>公共部分装修</v>
      </c>
      <c r="R36" s="774" t="s">
        <v>17</v>
      </c>
      <c r="S36" s="775">
        <f t="shared" si="12"/>
        <v>100</v>
      </c>
      <c r="T36" s="774" t="s">
        <v>17</v>
      </c>
      <c r="U36" s="775">
        <f t="shared" si="13"/>
        <v>100</v>
      </c>
      <c r="V36" s="774" t="s">
        <v>17</v>
      </c>
      <c r="W36" s="775">
        <f t="shared" si="14"/>
        <v>100</v>
      </c>
      <c r="X36" s="1813"/>
      <c r="Y36" s="3856"/>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54"/>
      <c r="Q37" s="1810" t="str">
        <f t="shared" si="11"/>
        <v>成新度</v>
      </c>
      <c r="R37" s="774" t="s">
        <v>17</v>
      </c>
      <c r="S37" s="775" t="e">
        <f t="shared" si="12"/>
        <v>#N/A</v>
      </c>
      <c r="T37" s="774" t="s">
        <v>17</v>
      </c>
      <c r="U37" s="775" t="e">
        <f t="shared" si="13"/>
        <v>#N/A</v>
      </c>
      <c r="V37" s="774" t="s">
        <v>17</v>
      </c>
      <c r="W37" s="775" t="e">
        <f t="shared" si="14"/>
        <v>#N/A</v>
      </c>
      <c r="X37" s="1813"/>
      <c r="Y37" s="3856"/>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54"/>
      <c r="Q38" s="1795" t="str">
        <f t="shared" si="11"/>
        <v>写字楼等级</v>
      </c>
      <c r="R38" s="770" t="s">
        <v>17</v>
      </c>
      <c r="S38" s="771">
        <f t="shared" si="12"/>
        <v>100</v>
      </c>
      <c r="T38" s="770" t="s">
        <v>17</v>
      </c>
      <c r="U38" s="771">
        <f t="shared" si="13"/>
        <v>100</v>
      </c>
      <c r="V38" s="770" t="s">
        <v>17</v>
      </c>
      <c r="W38" s="771">
        <f t="shared" si="14"/>
        <v>100</v>
      </c>
      <c r="X38" s="772"/>
      <c r="Y38" s="3856"/>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54" t="s">
        <v>2566</v>
      </c>
      <c r="Q39" s="1810" t="str">
        <f t="shared" si="11"/>
        <v>物业管理</v>
      </c>
      <c r="R39" s="774" t="s">
        <v>17</v>
      </c>
      <c r="S39" s="775">
        <f t="shared" si="12"/>
        <v>100</v>
      </c>
      <c r="T39" s="774" t="s">
        <v>17</v>
      </c>
      <c r="U39" s="775">
        <f t="shared" si="13"/>
        <v>100</v>
      </c>
      <c r="V39" s="774" t="s">
        <v>17</v>
      </c>
      <c r="W39" s="775">
        <f t="shared" si="14"/>
        <v>100</v>
      </c>
      <c r="X39" s="1813"/>
      <c r="Y39" s="3856"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54"/>
      <c r="Q40" s="1810" t="str">
        <f t="shared" si="11"/>
        <v>市政基础设施</v>
      </c>
      <c r="R40" s="774" t="s">
        <v>17</v>
      </c>
      <c r="S40" s="775">
        <f t="shared" si="12"/>
        <v>100</v>
      </c>
      <c r="T40" s="774" t="s">
        <v>17</v>
      </c>
      <c r="U40" s="775">
        <f t="shared" si="13"/>
        <v>100</v>
      </c>
      <c r="V40" s="774" t="s">
        <v>17</v>
      </c>
      <c r="W40" s="775">
        <f t="shared" si="14"/>
        <v>100</v>
      </c>
      <c r="X40" s="1813"/>
      <c r="Y40" s="3856"/>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54"/>
      <c r="Q41" s="1810" t="str">
        <f t="shared" si="11"/>
        <v>层高</v>
      </c>
      <c r="R41" s="774" t="s">
        <v>17</v>
      </c>
      <c r="S41" s="775">
        <f t="shared" si="12"/>
        <v>100</v>
      </c>
      <c r="T41" s="774" t="s">
        <v>17</v>
      </c>
      <c r="U41" s="775">
        <f t="shared" si="13"/>
        <v>100</v>
      </c>
      <c r="V41" s="774" t="s">
        <v>17</v>
      </c>
      <c r="W41" s="775">
        <f t="shared" si="14"/>
        <v>100</v>
      </c>
      <c r="X41" s="1813"/>
      <c r="Y41" s="3856"/>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54"/>
      <c r="Q42" s="776" t="str">
        <f t="shared" si="11"/>
        <v>单套建筑面积</v>
      </c>
      <c r="R42" s="777" t="s">
        <v>17</v>
      </c>
      <c r="S42" s="778">
        <f t="shared" si="12"/>
        <v>100</v>
      </c>
      <c r="T42" s="777" t="s">
        <v>17</v>
      </c>
      <c r="U42" s="778">
        <f t="shared" si="13"/>
        <v>100</v>
      </c>
      <c r="V42" s="777" t="s">
        <v>17</v>
      </c>
      <c r="W42" s="778">
        <f t="shared" si="14"/>
        <v>100</v>
      </c>
      <c r="X42" s="779"/>
      <c r="Y42" s="3856"/>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54"/>
      <c r="Q43" s="1810" t="str">
        <f t="shared" si="11"/>
        <v>内部装修</v>
      </c>
      <c r="R43" s="774" t="s">
        <v>17</v>
      </c>
      <c r="S43" s="775">
        <f t="shared" si="12"/>
        <v>100</v>
      </c>
      <c r="T43" s="774" t="s">
        <v>17</v>
      </c>
      <c r="U43" s="775">
        <f t="shared" si="13"/>
        <v>100</v>
      </c>
      <c r="V43" s="774" t="s">
        <v>17</v>
      </c>
      <c r="W43" s="775">
        <f t="shared" si="14"/>
        <v>100</v>
      </c>
      <c r="X43" s="1813"/>
      <c r="Y43" s="3856"/>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54"/>
      <c r="Q44" s="1810" t="str">
        <f t="shared" si="11"/>
        <v>内部装修维护情况</v>
      </c>
      <c r="R44" s="774" t="s">
        <v>17</v>
      </c>
      <c r="S44" s="775">
        <f t="shared" si="12"/>
        <v>100</v>
      </c>
      <c r="T44" s="774" t="s">
        <v>17</v>
      </c>
      <c r="U44" s="775">
        <f t="shared" si="13"/>
        <v>100</v>
      </c>
      <c r="V44" s="774" t="s">
        <v>17</v>
      </c>
      <c r="W44" s="775">
        <f t="shared" si="14"/>
        <v>100</v>
      </c>
      <c r="X44" s="1813"/>
      <c r="Y44" s="3856"/>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54"/>
      <c r="Q45" s="1795">
        <f t="shared" si="11"/>
        <v>111</v>
      </c>
      <c r="R45" s="770" t="s">
        <v>17</v>
      </c>
      <c r="S45" s="771">
        <f t="shared" si="12"/>
        <v>100</v>
      </c>
      <c r="T45" s="770" t="s">
        <v>17</v>
      </c>
      <c r="U45" s="771">
        <f t="shared" si="13"/>
        <v>100</v>
      </c>
      <c r="V45" s="770" t="s">
        <v>17</v>
      </c>
      <c r="W45" s="771">
        <f t="shared" si="14"/>
        <v>100</v>
      </c>
      <c r="X45" s="772"/>
      <c r="Y45" s="3856"/>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54"/>
      <c r="Q46" s="1810">
        <f t="shared" si="11"/>
        <v>111</v>
      </c>
      <c r="R46" s="774" t="s">
        <v>17</v>
      </c>
      <c r="S46" s="775">
        <f t="shared" si="12"/>
        <v>100</v>
      </c>
      <c r="T46" s="774" t="s">
        <v>17</v>
      </c>
      <c r="U46" s="775">
        <f t="shared" si="13"/>
        <v>100</v>
      </c>
      <c r="V46" s="774" t="s">
        <v>17</v>
      </c>
      <c r="W46" s="775">
        <f t="shared" si="14"/>
        <v>100</v>
      </c>
      <c r="X46" s="1813"/>
      <c r="Y46" s="3856"/>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55"/>
      <c r="Q47" s="1810">
        <f t="shared" si="11"/>
        <v>111</v>
      </c>
      <c r="R47" s="774" t="s">
        <v>17</v>
      </c>
      <c r="S47" s="775">
        <f t="shared" si="12"/>
        <v>100</v>
      </c>
      <c r="T47" s="774" t="s">
        <v>17</v>
      </c>
      <c r="U47" s="775">
        <f t="shared" si="13"/>
        <v>100</v>
      </c>
      <c r="V47" s="774" t="s">
        <v>17</v>
      </c>
      <c r="W47" s="775">
        <f t="shared" si="14"/>
        <v>100</v>
      </c>
      <c r="X47" s="1813"/>
      <c r="Y47" s="3857"/>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60" t="str">
        <f>A48</f>
        <v>成交单价（元/平方米）</v>
      </c>
      <c r="Q48" s="3849"/>
      <c r="R48" s="3850">
        <f>E48</f>
        <v>0</v>
      </c>
      <c r="S48" s="3850"/>
      <c r="T48" s="3850">
        <f>G48</f>
        <v>0</v>
      </c>
      <c r="U48" s="3850"/>
      <c r="V48" s="3850">
        <f>I48</f>
        <v>0</v>
      </c>
      <c r="W48" s="385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60" t="str">
        <f>A49</f>
        <v>比较价值（元/平方米）</v>
      </c>
      <c r="Q49" s="3849"/>
      <c r="R49" s="3850" t="e">
        <f>IF(F1="售价",ROUND(PRODUCT(R48,AA7:AA47),0),ROUND(PRODUCT(R48,AA7:AA47),1))</f>
        <v>#DIV/0!</v>
      </c>
      <c r="S49" s="3850"/>
      <c r="T49" s="3850" t="e">
        <f>IF(F1="售价",ROUND(PRODUCT(T48,AB7:AB47),0),ROUND(PRODUCT(T48,AB7:AB47),1))</f>
        <v>#DIV/0!</v>
      </c>
      <c r="U49" s="3850"/>
      <c r="V49" s="3850" t="e">
        <f>IF(F1="售价",ROUND(PRODUCT(V48,AC7:AC47),0),ROUND(PRODUCT(V48,AC7:AC47),1))</f>
        <v>#DIV/0!</v>
      </c>
      <c r="W49" s="385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13" t="str">
        <f>A50</f>
        <v>估价对象XX用房的比较价值（楼面单价，元/平方米）</v>
      </c>
      <c r="Q50" s="4014"/>
      <c r="R50" s="4015" t="e">
        <f>IF(F1="售价",ROUND(AVERAGE(R49:V49),0),ROUND(AVERAGE(R49:V49),1))</f>
        <v>#DIV/0!</v>
      </c>
      <c r="S50" s="4015"/>
      <c r="T50" s="4015"/>
      <c r="U50" s="4015"/>
      <c r="V50" s="4015"/>
      <c r="W50" s="4015"/>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11000.49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4" t="s">
        <v>2647</v>
      </c>
      <c r="D4" s="3865"/>
      <c r="E4" s="3866" t="s">
        <v>2648</v>
      </c>
      <c r="F4" s="3867"/>
      <c r="G4" s="3864" t="s">
        <v>2649</v>
      </c>
      <c r="H4" s="3865"/>
      <c r="I4" s="3864" t="s">
        <v>2650</v>
      </c>
      <c r="J4" s="3865"/>
      <c r="K4" s="610" t="s">
        <v>2651</v>
      </c>
      <c r="L4" s="1129"/>
      <c r="M4" s="1130"/>
      <c r="N4" s="1130"/>
      <c r="O4" s="1130"/>
      <c r="P4" s="3868" t="s">
        <v>2652</v>
      </c>
      <c r="Q4" s="3869"/>
      <c r="R4" s="3874" t="s">
        <v>2648</v>
      </c>
      <c r="S4" s="3875"/>
      <c r="T4" s="3874" t="s">
        <v>2649</v>
      </c>
      <c r="U4" s="3875"/>
      <c r="V4" s="3880" t="s">
        <v>2650</v>
      </c>
      <c r="W4" s="3880"/>
      <c r="X4" s="1813"/>
      <c r="Y4" s="3874" t="s">
        <v>2652</v>
      </c>
      <c r="Z4" s="3875"/>
      <c r="AA4" s="3861" t="s">
        <v>2648</v>
      </c>
      <c r="AB4" s="3862" t="s">
        <v>2649</v>
      </c>
      <c r="AC4" s="3861" t="s">
        <v>2650</v>
      </c>
    </row>
    <row r="5" spans="1:29" ht="15">
      <c r="A5" s="404"/>
      <c r="B5" s="405"/>
      <c r="C5" s="3883" t="s">
        <v>2543</v>
      </c>
      <c r="D5" s="3884"/>
      <c r="E5" s="3890" t="s">
        <v>2544</v>
      </c>
      <c r="F5" s="3891"/>
      <c r="G5" s="3883" t="s">
        <v>2545</v>
      </c>
      <c r="H5" s="3884"/>
      <c r="I5" s="3883" t="s">
        <v>2546</v>
      </c>
      <c r="J5" s="3884"/>
      <c r="K5" s="610"/>
      <c r="L5" s="1129"/>
      <c r="M5" s="1130"/>
      <c r="N5" s="1130"/>
      <c r="O5" s="1130"/>
      <c r="P5" s="3870"/>
      <c r="Q5" s="3871"/>
      <c r="R5" s="3876"/>
      <c r="S5" s="3877"/>
      <c r="T5" s="3876"/>
      <c r="U5" s="3877"/>
      <c r="V5" s="3880"/>
      <c r="W5" s="3880"/>
      <c r="X5" s="1813"/>
      <c r="Y5" s="3876"/>
      <c r="Z5" s="3877"/>
      <c r="AA5" s="3862"/>
      <c r="AB5" s="3862"/>
      <c r="AC5" s="3862"/>
    </row>
    <row r="6" spans="1:29" ht="15.75" thickBot="1">
      <c r="A6" s="406"/>
      <c r="B6" s="407"/>
      <c r="C6" s="3881" t="s">
        <v>2547</v>
      </c>
      <c r="D6" s="3882"/>
      <c r="E6" s="3888" t="s">
        <v>2547</v>
      </c>
      <c r="F6" s="3889"/>
      <c r="G6" s="3881" t="s">
        <v>2547</v>
      </c>
      <c r="H6" s="3882"/>
      <c r="I6" s="3881" t="s">
        <v>2547</v>
      </c>
      <c r="J6" s="3882"/>
      <c r="K6" s="610" t="s">
        <v>2548</v>
      </c>
      <c r="L6" s="1129"/>
      <c r="M6" s="1130"/>
      <c r="N6" s="1130"/>
      <c r="O6" s="1130"/>
      <c r="P6" s="3872"/>
      <c r="Q6" s="3873"/>
      <c r="R6" s="3876"/>
      <c r="S6" s="3877"/>
      <c r="T6" s="3878"/>
      <c r="U6" s="3879"/>
      <c r="V6" s="3880"/>
      <c r="W6" s="3880"/>
      <c r="X6" s="1813"/>
      <c r="Y6" s="3878"/>
      <c r="Z6" s="3879"/>
      <c r="AA6" s="3863"/>
      <c r="AB6" s="3863"/>
      <c r="AC6" s="3863"/>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85" t="s">
        <v>2550</v>
      </c>
      <c r="Q7" s="3887"/>
      <c r="R7" s="770" t="s">
        <v>17</v>
      </c>
      <c r="S7" s="771">
        <f t="shared" ref="S7:S15" si="0">F7</f>
        <v>0</v>
      </c>
      <c r="T7" s="770" t="s">
        <v>17</v>
      </c>
      <c r="U7" s="771">
        <f t="shared" ref="U7:U15" si="1">H7</f>
        <v>0</v>
      </c>
      <c r="V7" s="770" t="s">
        <v>17</v>
      </c>
      <c r="W7" s="771">
        <f t="shared" ref="W7:W15" si="2">J7</f>
        <v>0</v>
      </c>
      <c r="X7" s="772"/>
      <c r="Y7" s="3885" t="s">
        <v>2550</v>
      </c>
      <c r="Z7" s="388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85" t="s">
        <v>2553</v>
      </c>
      <c r="Q8" s="3886"/>
      <c r="R8" s="770" t="s">
        <v>17</v>
      </c>
      <c r="S8" s="771">
        <f t="shared" si="0"/>
        <v>0</v>
      </c>
      <c r="T8" s="770" t="s">
        <v>17</v>
      </c>
      <c r="U8" s="771">
        <f t="shared" si="1"/>
        <v>0</v>
      </c>
      <c r="V8" s="770" t="s">
        <v>17</v>
      </c>
      <c r="W8" s="771">
        <f t="shared" si="2"/>
        <v>0</v>
      </c>
      <c r="X8" s="772"/>
      <c r="Y8" s="3885" t="s">
        <v>2553</v>
      </c>
      <c r="Z8" s="388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49" t="s">
        <v>2556</v>
      </c>
      <c r="Q9" s="1795" t="str">
        <f t="shared" ref="Q9:Q15" si="6">B9</f>
        <v>用途</v>
      </c>
      <c r="R9" s="770" t="s">
        <v>17</v>
      </c>
      <c r="S9" s="771">
        <f t="shared" si="0"/>
        <v>100</v>
      </c>
      <c r="T9" s="770" t="s">
        <v>17</v>
      </c>
      <c r="U9" s="771">
        <f t="shared" si="1"/>
        <v>100</v>
      </c>
      <c r="V9" s="770" t="s">
        <v>17</v>
      </c>
      <c r="W9" s="771">
        <f t="shared" si="2"/>
        <v>100</v>
      </c>
      <c r="X9" s="772"/>
      <c r="Y9" s="370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49"/>
      <c r="Q10" s="1795" t="str">
        <f t="shared" si="6"/>
        <v>土地使用年限（年）</v>
      </c>
      <c r="R10" s="770" t="s">
        <v>17</v>
      </c>
      <c r="S10" s="771">
        <f t="shared" si="0"/>
        <v>100</v>
      </c>
      <c r="T10" s="770" t="s">
        <v>17</v>
      </c>
      <c r="U10" s="771">
        <f t="shared" si="1"/>
        <v>100</v>
      </c>
      <c r="V10" s="770" t="s">
        <v>17</v>
      </c>
      <c r="W10" s="771">
        <f t="shared" si="2"/>
        <v>100</v>
      </c>
      <c r="X10" s="772"/>
      <c r="Y10" s="370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49"/>
      <c r="Q11" s="1795" t="str">
        <f t="shared" si="6"/>
        <v>容积率</v>
      </c>
      <c r="R11" s="770" t="s">
        <v>17</v>
      </c>
      <c r="S11" s="771" t="e">
        <f t="shared" si="0"/>
        <v>#N/A</v>
      </c>
      <c r="T11" s="770" t="s">
        <v>17</v>
      </c>
      <c r="U11" s="771" t="e">
        <f t="shared" si="1"/>
        <v>#N/A</v>
      </c>
      <c r="V11" s="770" t="s">
        <v>17</v>
      </c>
      <c r="W11" s="771" t="e">
        <f t="shared" si="2"/>
        <v>#N/A</v>
      </c>
      <c r="X11" s="772"/>
      <c r="Y11" s="370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49"/>
      <c r="Q12" s="1795">
        <f t="shared" si="6"/>
        <v>111</v>
      </c>
      <c r="R12" s="770" t="s">
        <v>17</v>
      </c>
      <c r="S12" s="771">
        <f t="shared" si="0"/>
        <v>100</v>
      </c>
      <c r="T12" s="770" t="s">
        <v>17</v>
      </c>
      <c r="U12" s="771">
        <f t="shared" si="1"/>
        <v>100</v>
      </c>
      <c r="V12" s="770" t="s">
        <v>17</v>
      </c>
      <c r="W12" s="771">
        <f t="shared" si="2"/>
        <v>100</v>
      </c>
      <c r="X12" s="772"/>
      <c r="Y12" s="370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49"/>
      <c r="Q13" s="1795">
        <f t="shared" si="6"/>
        <v>111</v>
      </c>
      <c r="R13" s="770" t="s">
        <v>17</v>
      </c>
      <c r="S13" s="771">
        <f t="shared" si="0"/>
        <v>100</v>
      </c>
      <c r="T13" s="770" t="s">
        <v>17</v>
      </c>
      <c r="U13" s="771">
        <f t="shared" si="1"/>
        <v>100</v>
      </c>
      <c r="V13" s="770" t="s">
        <v>17</v>
      </c>
      <c r="W13" s="771">
        <f t="shared" si="2"/>
        <v>100</v>
      </c>
      <c r="X13" s="772"/>
      <c r="Y13" s="370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49"/>
      <c r="Q14" s="1795">
        <f t="shared" si="6"/>
        <v>111</v>
      </c>
      <c r="R14" s="770" t="s">
        <v>17</v>
      </c>
      <c r="S14" s="771">
        <f t="shared" si="0"/>
        <v>100</v>
      </c>
      <c r="T14" s="770" t="s">
        <v>17</v>
      </c>
      <c r="U14" s="771">
        <f t="shared" si="1"/>
        <v>100</v>
      </c>
      <c r="V14" s="770" t="s">
        <v>17</v>
      </c>
      <c r="W14" s="771">
        <f t="shared" si="2"/>
        <v>100</v>
      </c>
      <c r="X14" s="772"/>
      <c r="Y14" s="3704"/>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51" t="s">
        <v>2561</v>
      </c>
      <c r="Q15" s="1810" t="str">
        <f t="shared" si="6"/>
        <v>产业集聚程度</v>
      </c>
      <c r="R15" s="774" t="s">
        <v>17</v>
      </c>
      <c r="S15" s="775">
        <f t="shared" si="0"/>
        <v>100</v>
      </c>
      <c r="T15" s="774" t="s">
        <v>17</v>
      </c>
      <c r="U15" s="775">
        <f t="shared" si="1"/>
        <v>100</v>
      </c>
      <c r="V15" s="774" t="s">
        <v>17</v>
      </c>
      <c r="W15" s="775">
        <f t="shared" si="2"/>
        <v>100</v>
      </c>
      <c r="X15" s="1813"/>
      <c r="Y15" s="3851"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52"/>
      <c r="Q16" s="1810"/>
      <c r="R16" s="774"/>
      <c r="S16" s="775"/>
      <c r="T16" s="774"/>
      <c r="U16" s="775"/>
      <c r="V16" s="774"/>
      <c r="W16" s="775"/>
      <c r="X16" s="1813"/>
      <c r="Y16" s="3852"/>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52"/>
      <c r="Q17" s="1810" t="str">
        <f>B17</f>
        <v>交通便捷度</v>
      </c>
      <c r="R17" s="774" t="s">
        <v>17</v>
      </c>
      <c r="S17" s="775">
        <f>F17</f>
        <v>100</v>
      </c>
      <c r="T17" s="774" t="s">
        <v>17</v>
      </c>
      <c r="U17" s="775">
        <f>H17</f>
        <v>100</v>
      </c>
      <c r="V17" s="774" t="s">
        <v>17</v>
      </c>
      <c r="W17" s="775">
        <f>J17</f>
        <v>100</v>
      </c>
      <c r="X17" s="1813"/>
      <c r="Y17" s="385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52"/>
      <c r="Q18" s="1810"/>
      <c r="R18" s="774"/>
      <c r="S18" s="775"/>
      <c r="T18" s="774"/>
      <c r="U18" s="775"/>
      <c r="V18" s="774"/>
      <c r="W18" s="775"/>
      <c r="X18" s="1813"/>
      <c r="Y18" s="3852"/>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52"/>
      <c r="Q19" s="1810" t="str">
        <f>B19</f>
        <v>公共配套设施</v>
      </c>
      <c r="R19" s="774" t="s">
        <v>17</v>
      </c>
      <c r="S19" s="775">
        <f>F19</f>
        <v>100</v>
      </c>
      <c r="T19" s="774" t="s">
        <v>17</v>
      </c>
      <c r="U19" s="775">
        <f>H19</f>
        <v>100</v>
      </c>
      <c r="V19" s="774" t="s">
        <v>17</v>
      </c>
      <c r="W19" s="775">
        <f>J19</f>
        <v>100</v>
      </c>
      <c r="X19" s="1813"/>
      <c r="Y19" s="385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52"/>
      <c r="Q20" s="1810"/>
      <c r="R20" s="774"/>
      <c r="S20" s="775"/>
      <c r="T20" s="774"/>
      <c r="U20" s="775"/>
      <c r="V20" s="774"/>
      <c r="W20" s="775"/>
      <c r="X20" s="1813"/>
      <c r="Y20" s="3852"/>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52"/>
      <c r="Q21" s="1810" t="str">
        <f>B21</f>
        <v>基础设施水平</v>
      </c>
      <c r="R21" s="774" t="s">
        <v>17</v>
      </c>
      <c r="S21" s="775">
        <f>F21</f>
        <v>100</v>
      </c>
      <c r="T21" s="774" t="s">
        <v>17</v>
      </c>
      <c r="U21" s="775">
        <f>H21</f>
        <v>100</v>
      </c>
      <c r="V21" s="774" t="s">
        <v>17</v>
      </c>
      <c r="W21" s="775">
        <f>J21</f>
        <v>100</v>
      </c>
      <c r="X21" s="1813"/>
      <c r="Y21" s="3852"/>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52"/>
      <c r="Q22" s="1810"/>
      <c r="R22" s="774"/>
      <c r="S22" s="775"/>
      <c r="T22" s="774"/>
      <c r="U22" s="775"/>
      <c r="V22" s="774"/>
      <c r="W22" s="775"/>
      <c r="X22" s="1813"/>
      <c r="Y22" s="3852"/>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52"/>
      <c r="Q23" s="1810" t="str">
        <f>B23</f>
        <v>环境质量</v>
      </c>
      <c r="R23" s="774" t="s">
        <v>17</v>
      </c>
      <c r="S23" s="775">
        <f>F23</f>
        <v>100</v>
      </c>
      <c r="T23" s="774" t="s">
        <v>17</v>
      </c>
      <c r="U23" s="775">
        <f>H23</f>
        <v>100</v>
      </c>
      <c r="V23" s="774" t="s">
        <v>17</v>
      </c>
      <c r="W23" s="775">
        <f>J23</f>
        <v>100</v>
      </c>
      <c r="X23" s="1813"/>
      <c r="Y23" s="3852"/>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52"/>
      <c r="Q24" s="1810"/>
      <c r="R24" s="774"/>
      <c r="S24" s="775"/>
      <c r="T24" s="774"/>
      <c r="U24" s="775"/>
      <c r="V24" s="774"/>
      <c r="W24" s="775"/>
      <c r="X24" s="1813"/>
      <c r="Y24" s="3852"/>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52"/>
      <c r="Q25" s="1810">
        <f>B25</f>
        <v>111</v>
      </c>
      <c r="R25" s="774" t="s">
        <v>17</v>
      </c>
      <c r="S25" s="775">
        <f>F25</f>
        <v>100</v>
      </c>
      <c r="T25" s="774" t="s">
        <v>17</v>
      </c>
      <c r="U25" s="775">
        <f>H25</f>
        <v>100</v>
      </c>
      <c r="V25" s="774" t="s">
        <v>17</v>
      </c>
      <c r="W25" s="775">
        <f>J25</f>
        <v>100</v>
      </c>
      <c r="X25" s="1813"/>
      <c r="Y25" s="3852"/>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52"/>
      <c r="Q26" s="1810">
        <f t="shared" ref="Q26:Q40" si="11">B26</f>
        <v>111</v>
      </c>
      <c r="R26" s="774" t="s">
        <v>17</v>
      </c>
      <c r="S26" s="775">
        <f>F26</f>
        <v>100</v>
      </c>
      <c r="T26" s="774" t="s">
        <v>17</v>
      </c>
      <c r="U26" s="775">
        <f>H26</f>
        <v>100</v>
      </c>
      <c r="V26" s="774" t="s">
        <v>17</v>
      </c>
      <c r="W26" s="775">
        <f>J26</f>
        <v>100</v>
      </c>
      <c r="X26" s="1813"/>
      <c r="Y26" s="3852"/>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52"/>
      <c r="Q27" s="1795">
        <f t="shared" si="11"/>
        <v>111</v>
      </c>
      <c r="R27" s="770" t="s">
        <v>17</v>
      </c>
      <c r="S27" s="771">
        <f>F27</f>
        <v>100</v>
      </c>
      <c r="T27" s="770" t="s">
        <v>17</v>
      </c>
      <c r="U27" s="771">
        <f>H27</f>
        <v>100</v>
      </c>
      <c r="V27" s="770" t="s">
        <v>17</v>
      </c>
      <c r="W27" s="771">
        <f>J27</f>
        <v>100</v>
      </c>
      <c r="X27" s="772"/>
      <c r="Y27" s="3852"/>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52"/>
      <c r="Q28" s="1810">
        <f t="shared" si="11"/>
        <v>111</v>
      </c>
      <c r="R28" s="774" t="s">
        <v>17</v>
      </c>
      <c r="S28" s="775">
        <f t="shared" ref="S28:S40" si="12">F28</f>
        <v>100</v>
      </c>
      <c r="T28" s="774" t="s">
        <v>17</v>
      </c>
      <c r="U28" s="775">
        <f t="shared" ref="U28:U40" si="13">H28</f>
        <v>100</v>
      </c>
      <c r="V28" s="774" t="s">
        <v>17</v>
      </c>
      <c r="W28" s="775">
        <f t="shared" ref="W28:W40" si="14">J28</f>
        <v>100</v>
      </c>
      <c r="X28" s="1813"/>
      <c r="Y28" s="3852"/>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8" t="s">
        <v>2566</v>
      </c>
      <c r="Q29" s="1810" t="str">
        <f t="shared" si="11"/>
        <v>建筑类型</v>
      </c>
      <c r="R29" s="774" t="s">
        <v>17</v>
      </c>
      <c r="S29" s="775">
        <f t="shared" si="12"/>
        <v>100</v>
      </c>
      <c r="T29" s="774" t="s">
        <v>17</v>
      </c>
      <c r="U29" s="775">
        <f t="shared" si="13"/>
        <v>100</v>
      </c>
      <c r="V29" s="774" t="s">
        <v>17</v>
      </c>
      <c r="W29" s="775">
        <f t="shared" si="14"/>
        <v>100</v>
      </c>
      <c r="X29" s="1813"/>
      <c r="Y29" s="3856"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56"/>
      <c r="Q30" s="776" t="str">
        <f t="shared" si="11"/>
        <v>项目建筑规模</v>
      </c>
      <c r="R30" s="777" t="s">
        <v>17</v>
      </c>
      <c r="S30" s="778" t="e">
        <f t="shared" si="12"/>
        <v>#N/A</v>
      </c>
      <c r="T30" s="777" t="s">
        <v>17</v>
      </c>
      <c r="U30" s="778" t="e">
        <f t="shared" si="13"/>
        <v>#N/A</v>
      </c>
      <c r="V30" s="777" t="s">
        <v>17</v>
      </c>
      <c r="W30" s="778" t="e">
        <f t="shared" si="14"/>
        <v>#N/A</v>
      </c>
      <c r="X30" s="779"/>
      <c r="Y30" s="3856"/>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56"/>
      <c r="Q31" s="1810" t="str">
        <f t="shared" si="11"/>
        <v>建筑结构</v>
      </c>
      <c r="R31" s="774" t="s">
        <v>17</v>
      </c>
      <c r="S31" s="775">
        <f t="shared" si="12"/>
        <v>100</v>
      </c>
      <c r="T31" s="774" t="s">
        <v>17</v>
      </c>
      <c r="U31" s="775">
        <f t="shared" si="13"/>
        <v>100</v>
      </c>
      <c r="V31" s="774" t="s">
        <v>17</v>
      </c>
      <c r="W31" s="775">
        <f t="shared" si="14"/>
        <v>100</v>
      </c>
      <c r="X31" s="1813"/>
      <c r="Y31" s="3856"/>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56"/>
      <c r="Q32" s="1810" t="str">
        <f t="shared" si="11"/>
        <v>公共部分装修</v>
      </c>
      <c r="R32" s="774" t="s">
        <v>17</v>
      </c>
      <c r="S32" s="775">
        <f t="shared" si="12"/>
        <v>100</v>
      </c>
      <c r="T32" s="774" t="s">
        <v>17</v>
      </c>
      <c r="U32" s="775">
        <f t="shared" si="13"/>
        <v>100</v>
      </c>
      <c r="V32" s="774" t="s">
        <v>17</v>
      </c>
      <c r="W32" s="775">
        <f t="shared" si="14"/>
        <v>100</v>
      </c>
      <c r="X32" s="1813"/>
      <c r="Y32" s="3856"/>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56"/>
      <c r="Q33" s="1810" t="str">
        <f t="shared" si="11"/>
        <v>成新度</v>
      </c>
      <c r="R33" s="774" t="s">
        <v>17</v>
      </c>
      <c r="S33" s="775" t="e">
        <f t="shared" si="12"/>
        <v>#N/A</v>
      </c>
      <c r="T33" s="774" t="s">
        <v>17</v>
      </c>
      <c r="U33" s="775" t="e">
        <f t="shared" si="13"/>
        <v>#N/A</v>
      </c>
      <c r="V33" s="774" t="s">
        <v>17</v>
      </c>
      <c r="W33" s="775" t="e">
        <f t="shared" si="14"/>
        <v>#N/A</v>
      </c>
      <c r="X33" s="1813"/>
      <c r="Y33" s="3856"/>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56"/>
      <c r="Q34" s="1795" t="str">
        <f t="shared" si="11"/>
        <v>物业管理</v>
      </c>
      <c r="R34" s="770" t="s">
        <v>17</v>
      </c>
      <c r="S34" s="771">
        <f t="shared" si="12"/>
        <v>100</v>
      </c>
      <c r="T34" s="770" t="s">
        <v>17</v>
      </c>
      <c r="U34" s="771">
        <f t="shared" si="13"/>
        <v>100</v>
      </c>
      <c r="V34" s="770" t="s">
        <v>17</v>
      </c>
      <c r="W34" s="771">
        <f t="shared" si="14"/>
        <v>100</v>
      </c>
      <c r="X34" s="772"/>
      <c r="Y34" s="385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56" t="s">
        <v>2566</v>
      </c>
      <c r="Q35" s="1810" t="str">
        <f t="shared" si="11"/>
        <v>市政基础设施</v>
      </c>
      <c r="R35" s="774" t="s">
        <v>17</v>
      </c>
      <c r="S35" s="775">
        <f t="shared" si="12"/>
        <v>100</v>
      </c>
      <c r="T35" s="774" t="s">
        <v>17</v>
      </c>
      <c r="U35" s="775">
        <f t="shared" si="13"/>
        <v>100</v>
      </c>
      <c r="V35" s="774" t="s">
        <v>17</v>
      </c>
      <c r="W35" s="775">
        <f t="shared" si="14"/>
        <v>100</v>
      </c>
      <c r="X35" s="1813"/>
      <c r="Y35" s="3856"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56"/>
      <c r="Q36" s="1810" t="str">
        <f t="shared" si="11"/>
        <v>内部装修</v>
      </c>
      <c r="R36" s="774" t="s">
        <v>17</v>
      </c>
      <c r="S36" s="775">
        <f t="shared" si="12"/>
        <v>100</v>
      </c>
      <c r="T36" s="774" t="s">
        <v>17</v>
      </c>
      <c r="U36" s="775">
        <f t="shared" si="13"/>
        <v>100</v>
      </c>
      <c r="V36" s="774" t="s">
        <v>17</v>
      </c>
      <c r="W36" s="775">
        <f t="shared" si="14"/>
        <v>100</v>
      </c>
      <c r="X36" s="1813"/>
      <c r="Y36" s="3856"/>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56"/>
      <c r="Q37" s="1810" t="str">
        <f t="shared" si="11"/>
        <v>内部装修状况</v>
      </c>
      <c r="R37" s="774" t="s">
        <v>17</v>
      </c>
      <c r="S37" s="775">
        <f t="shared" si="12"/>
        <v>100</v>
      </c>
      <c r="T37" s="774" t="s">
        <v>17</v>
      </c>
      <c r="U37" s="775">
        <f t="shared" si="13"/>
        <v>100</v>
      </c>
      <c r="V37" s="774" t="s">
        <v>17</v>
      </c>
      <c r="W37" s="775">
        <f t="shared" si="14"/>
        <v>100</v>
      </c>
      <c r="X37" s="1813"/>
      <c r="Y37" s="3856"/>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56"/>
      <c r="Q38" s="776">
        <f t="shared" si="11"/>
        <v>111</v>
      </c>
      <c r="R38" s="777" t="s">
        <v>17</v>
      </c>
      <c r="S38" s="778">
        <f t="shared" si="12"/>
        <v>100</v>
      </c>
      <c r="T38" s="777" t="s">
        <v>17</v>
      </c>
      <c r="U38" s="778">
        <f t="shared" si="13"/>
        <v>100</v>
      </c>
      <c r="V38" s="777" t="s">
        <v>17</v>
      </c>
      <c r="W38" s="778">
        <f t="shared" si="14"/>
        <v>100</v>
      </c>
      <c r="X38" s="779"/>
      <c r="Y38" s="3856"/>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56"/>
      <c r="Q39" s="1810">
        <f t="shared" si="11"/>
        <v>111</v>
      </c>
      <c r="R39" s="774" t="s">
        <v>17</v>
      </c>
      <c r="S39" s="775">
        <f t="shared" si="12"/>
        <v>100</v>
      </c>
      <c r="T39" s="774" t="s">
        <v>17</v>
      </c>
      <c r="U39" s="775">
        <f t="shared" si="13"/>
        <v>100</v>
      </c>
      <c r="V39" s="774" t="s">
        <v>17</v>
      </c>
      <c r="W39" s="775">
        <f t="shared" si="14"/>
        <v>100</v>
      </c>
      <c r="X39" s="1813"/>
      <c r="Y39" s="3856"/>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57"/>
      <c r="Q40" s="1810">
        <f t="shared" si="11"/>
        <v>111</v>
      </c>
      <c r="R40" s="774" t="s">
        <v>17</v>
      </c>
      <c r="S40" s="775">
        <f t="shared" si="12"/>
        <v>100</v>
      </c>
      <c r="T40" s="774" t="s">
        <v>17</v>
      </c>
      <c r="U40" s="775">
        <f t="shared" si="13"/>
        <v>100</v>
      </c>
      <c r="V40" s="774" t="s">
        <v>17</v>
      </c>
      <c r="W40" s="775">
        <f t="shared" si="14"/>
        <v>100</v>
      </c>
      <c r="X40" s="1813"/>
      <c r="Y40" s="3857"/>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49" t="str">
        <f>A41</f>
        <v>成交单价（元/平方米）</v>
      </c>
      <c r="Q41" s="3849"/>
      <c r="R41" s="3850">
        <f>E41</f>
        <v>0</v>
      </c>
      <c r="S41" s="3850"/>
      <c r="T41" s="3850">
        <f>G41</f>
        <v>0</v>
      </c>
      <c r="U41" s="3850"/>
      <c r="V41" s="3850">
        <f>I41</f>
        <v>0</v>
      </c>
      <c r="W41" s="385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49" t="str">
        <f>A42</f>
        <v>比较价值（元/平方米）</v>
      </c>
      <c r="Q42" s="3849"/>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46" t="str">
        <f>A43</f>
        <v>估价对象XX用房的比较价值（楼面单价，元/平方米）</v>
      </c>
      <c r="Q43" s="3847"/>
      <c r="R43" s="3848" t="e">
        <f>IF(F1="售价",ROUND(AVERAGE(R42:V42),0),ROUND(AVERAGE(R42:V42),1))</f>
        <v>#DIV/0!</v>
      </c>
      <c r="S43" s="3848"/>
      <c r="T43" s="3848"/>
      <c r="U43" s="3848"/>
      <c r="V43" s="3848"/>
      <c r="W43" s="384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11000.49</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64" t="s">
        <v>2537</v>
      </c>
      <c r="D4" s="3865"/>
      <c r="E4" s="3866" t="s">
        <v>2538</v>
      </c>
      <c r="F4" s="3867"/>
      <c r="G4" s="3864" t="s">
        <v>2539</v>
      </c>
      <c r="H4" s="3865"/>
      <c r="I4" s="3864" t="s">
        <v>2540</v>
      </c>
      <c r="J4" s="3865"/>
      <c r="K4" s="2595" t="s">
        <v>2541</v>
      </c>
      <c r="L4" s="1129"/>
      <c r="M4" s="1130"/>
      <c r="N4" s="1130"/>
      <c r="O4" s="1130"/>
      <c r="P4" s="3868" t="s">
        <v>2542</v>
      </c>
      <c r="Q4" s="3869"/>
      <c r="R4" s="3874" t="s">
        <v>2538</v>
      </c>
      <c r="S4" s="3875"/>
      <c r="T4" s="3874" t="s">
        <v>2539</v>
      </c>
      <c r="U4" s="3875"/>
      <c r="V4" s="3880" t="s">
        <v>2540</v>
      </c>
      <c r="W4" s="3880"/>
      <c r="X4" s="2939"/>
      <c r="Y4" s="3874" t="s">
        <v>2542</v>
      </c>
      <c r="Z4" s="3875"/>
      <c r="AA4" s="3861" t="s">
        <v>2538</v>
      </c>
      <c r="AB4" s="3861" t="s">
        <v>2539</v>
      </c>
      <c r="AC4" s="3861" t="s">
        <v>2540</v>
      </c>
    </row>
    <row r="5" spans="1:29" ht="15">
      <c r="A5" s="404"/>
      <c r="B5" s="405"/>
      <c r="C5" s="3883" t="s">
        <v>2543</v>
      </c>
      <c r="D5" s="3884"/>
      <c r="E5" s="3890" t="s">
        <v>2544</v>
      </c>
      <c r="F5" s="3891"/>
      <c r="G5" s="3883" t="s">
        <v>2545</v>
      </c>
      <c r="H5" s="3884"/>
      <c r="I5" s="3883" t="s">
        <v>2546</v>
      </c>
      <c r="J5" s="3884"/>
      <c r="K5" s="2596"/>
      <c r="L5" s="1129"/>
      <c r="M5" s="1130"/>
      <c r="N5" s="1130"/>
      <c r="O5" s="1130"/>
      <c r="P5" s="3870"/>
      <c r="Q5" s="3871"/>
      <c r="R5" s="3876"/>
      <c r="S5" s="3877"/>
      <c r="T5" s="3876"/>
      <c r="U5" s="3877"/>
      <c r="V5" s="3880"/>
      <c r="W5" s="3880"/>
      <c r="X5" s="2939"/>
      <c r="Y5" s="3876"/>
      <c r="Z5" s="3877"/>
      <c r="AA5" s="3862"/>
      <c r="AB5" s="3862"/>
      <c r="AC5" s="3862"/>
    </row>
    <row r="6" spans="1:29" ht="15.75" thickBot="1">
      <c r="A6" s="406"/>
      <c r="B6" s="407"/>
      <c r="C6" s="3881" t="s">
        <v>2547</v>
      </c>
      <c r="D6" s="3882"/>
      <c r="E6" s="3888" t="s">
        <v>2547</v>
      </c>
      <c r="F6" s="3889"/>
      <c r="G6" s="3881" t="s">
        <v>2547</v>
      </c>
      <c r="H6" s="3882"/>
      <c r="I6" s="3881" t="s">
        <v>2547</v>
      </c>
      <c r="J6" s="3882"/>
      <c r="K6" s="2596" t="s">
        <v>2548</v>
      </c>
      <c r="L6" s="1129"/>
      <c r="M6" s="1130"/>
      <c r="N6" s="1130"/>
      <c r="O6" s="1130"/>
      <c r="P6" s="3872"/>
      <c r="Q6" s="3873"/>
      <c r="R6" s="3876"/>
      <c r="S6" s="3877"/>
      <c r="T6" s="3878"/>
      <c r="U6" s="3879"/>
      <c r="V6" s="3880"/>
      <c r="W6" s="3880"/>
      <c r="X6" s="2939"/>
      <c r="Y6" s="3878"/>
      <c r="Z6" s="3879"/>
      <c r="AA6" s="3863"/>
      <c r="AB6" s="3863"/>
      <c r="AC6" s="3863"/>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85" t="s">
        <v>2550</v>
      </c>
      <c r="Q7" s="3887"/>
      <c r="R7" s="770" t="s">
        <v>23</v>
      </c>
      <c r="S7" s="771">
        <f t="shared" ref="S7:S15" si="0">F7</f>
        <v>0</v>
      </c>
      <c r="T7" s="770" t="s">
        <v>23</v>
      </c>
      <c r="U7" s="771">
        <f t="shared" ref="U7:U15" si="1">H7</f>
        <v>0</v>
      </c>
      <c r="V7" s="770" t="s">
        <v>23</v>
      </c>
      <c r="W7" s="771">
        <f t="shared" ref="W7:W15" si="2">J7</f>
        <v>0</v>
      </c>
      <c r="X7" s="772"/>
      <c r="Y7" s="3885" t="s">
        <v>2550</v>
      </c>
      <c r="Z7" s="3886"/>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85" t="s">
        <v>2553</v>
      </c>
      <c r="Q8" s="3886"/>
      <c r="R8" s="770" t="s">
        <v>23</v>
      </c>
      <c r="S8" s="771">
        <f t="shared" si="0"/>
        <v>0</v>
      </c>
      <c r="T8" s="770" t="s">
        <v>23</v>
      </c>
      <c r="U8" s="771">
        <f t="shared" si="1"/>
        <v>0</v>
      </c>
      <c r="V8" s="770" t="s">
        <v>23</v>
      </c>
      <c r="W8" s="771">
        <f t="shared" si="2"/>
        <v>0</v>
      </c>
      <c r="X8" s="772"/>
      <c r="Y8" s="3885" t="s">
        <v>2553</v>
      </c>
      <c r="Z8" s="388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60" t="s">
        <v>2556</v>
      </c>
      <c r="Q9" s="2925" t="str">
        <f t="shared" ref="Q9:Q15" si="6">B9</f>
        <v>用途</v>
      </c>
      <c r="R9" s="770" t="s">
        <v>17</v>
      </c>
      <c r="S9" s="771">
        <f t="shared" si="0"/>
        <v>100</v>
      </c>
      <c r="T9" s="770" t="s">
        <v>17</v>
      </c>
      <c r="U9" s="771">
        <f t="shared" si="1"/>
        <v>100</v>
      </c>
      <c r="V9" s="770" t="s">
        <v>17</v>
      </c>
      <c r="W9" s="771">
        <f t="shared" si="2"/>
        <v>100</v>
      </c>
      <c r="X9" s="772"/>
      <c r="Y9" s="3704"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60"/>
      <c r="Q10" s="2925" t="str">
        <f t="shared" si="6"/>
        <v>土地使用年限（年）</v>
      </c>
      <c r="R10" s="770" t="s">
        <v>17</v>
      </c>
      <c r="S10" s="771">
        <f t="shared" si="0"/>
        <v>100</v>
      </c>
      <c r="T10" s="770" t="s">
        <v>17</v>
      </c>
      <c r="U10" s="771">
        <f t="shared" si="1"/>
        <v>100</v>
      </c>
      <c r="V10" s="770" t="s">
        <v>17</v>
      </c>
      <c r="W10" s="771">
        <f t="shared" si="2"/>
        <v>100</v>
      </c>
      <c r="X10" s="772"/>
      <c r="Y10" s="3704"/>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60"/>
      <c r="Q11" s="2925" t="str">
        <f t="shared" si="6"/>
        <v>容积率</v>
      </c>
      <c r="R11" s="770" t="s">
        <v>21</v>
      </c>
      <c r="S11" s="771" t="e">
        <f t="shared" si="0"/>
        <v>#N/A</v>
      </c>
      <c r="T11" s="770" t="s">
        <v>21</v>
      </c>
      <c r="U11" s="771" t="e">
        <f t="shared" si="1"/>
        <v>#N/A</v>
      </c>
      <c r="V11" s="770" t="s">
        <v>21</v>
      </c>
      <c r="W11" s="771" t="e">
        <f t="shared" si="2"/>
        <v>#N/A</v>
      </c>
      <c r="X11" s="772"/>
      <c r="Y11" s="3704"/>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60"/>
      <c r="Q12" s="2925">
        <f t="shared" si="6"/>
        <v>111</v>
      </c>
      <c r="R12" s="770" t="s">
        <v>21</v>
      </c>
      <c r="S12" s="771">
        <f t="shared" si="0"/>
        <v>100</v>
      </c>
      <c r="T12" s="770" t="s">
        <v>21</v>
      </c>
      <c r="U12" s="771">
        <f t="shared" si="1"/>
        <v>100</v>
      </c>
      <c r="V12" s="770" t="s">
        <v>21</v>
      </c>
      <c r="W12" s="771">
        <f t="shared" si="2"/>
        <v>100</v>
      </c>
      <c r="X12" s="772"/>
      <c r="Y12" s="3704"/>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60"/>
      <c r="Q13" s="2925">
        <f t="shared" si="6"/>
        <v>111</v>
      </c>
      <c r="R13" s="770" t="s">
        <v>21</v>
      </c>
      <c r="S13" s="771">
        <f t="shared" si="0"/>
        <v>100</v>
      </c>
      <c r="T13" s="770" t="s">
        <v>21</v>
      </c>
      <c r="U13" s="771">
        <f t="shared" si="1"/>
        <v>100</v>
      </c>
      <c r="V13" s="770" t="s">
        <v>21</v>
      </c>
      <c r="W13" s="771">
        <f t="shared" si="2"/>
        <v>100</v>
      </c>
      <c r="X13" s="772"/>
      <c r="Y13" s="3704"/>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60"/>
      <c r="Q14" s="2925">
        <f t="shared" si="6"/>
        <v>111</v>
      </c>
      <c r="R14" s="770" t="s">
        <v>21</v>
      </c>
      <c r="S14" s="771">
        <f t="shared" si="0"/>
        <v>100</v>
      </c>
      <c r="T14" s="770" t="s">
        <v>21</v>
      </c>
      <c r="U14" s="771">
        <f t="shared" si="1"/>
        <v>100</v>
      </c>
      <c r="V14" s="770" t="s">
        <v>21</v>
      </c>
      <c r="W14" s="771">
        <f t="shared" si="2"/>
        <v>100</v>
      </c>
      <c r="X14" s="772"/>
      <c r="Y14" s="3704"/>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8" t="s">
        <v>2561</v>
      </c>
      <c r="Q15" s="2937" t="str">
        <f t="shared" si="6"/>
        <v>居住社区成熟度</v>
      </c>
      <c r="R15" s="774" t="s">
        <v>21</v>
      </c>
      <c r="S15" s="775">
        <f t="shared" si="0"/>
        <v>100</v>
      </c>
      <c r="T15" s="774" t="s">
        <v>21</v>
      </c>
      <c r="U15" s="775">
        <f t="shared" si="1"/>
        <v>100</v>
      </c>
      <c r="V15" s="774" t="s">
        <v>21</v>
      </c>
      <c r="W15" s="775">
        <f t="shared" si="2"/>
        <v>100</v>
      </c>
      <c r="X15" s="2939"/>
      <c r="Y15" s="3851"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59"/>
      <c r="Q16" s="2937"/>
      <c r="R16" s="774"/>
      <c r="S16" s="775"/>
      <c r="T16" s="774"/>
      <c r="U16" s="775"/>
      <c r="V16" s="774"/>
      <c r="W16" s="775"/>
      <c r="X16" s="2939"/>
      <c r="Y16" s="3852"/>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9"/>
      <c r="Q17" s="2937" t="str">
        <f>B17</f>
        <v>交通便捷度</v>
      </c>
      <c r="R17" s="774" t="s">
        <v>21</v>
      </c>
      <c r="S17" s="775">
        <f>F17</f>
        <v>100</v>
      </c>
      <c r="T17" s="774" t="s">
        <v>21</v>
      </c>
      <c r="U17" s="775">
        <f>H17</f>
        <v>100</v>
      </c>
      <c r="V17" s="774" t="s">
        <v>21</v>
      </c>
      <c r="W17" s="775">
        <f>J17</f>
        <v>100</v>
      </c>
      <c r="X17" s="2939"/>
      <c r="Y17" s="3852"/>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59"/>
      <c r="Q18" s="2937"/>
      <c r="R18" s="774"/>
      <c r="S18" s="775"/>
      <c r="T18" s="774"/>
      <c r="U18" s="775"/>
      <c r="V18" s="774"/>
      <c r="W18" s="775"/>
      <c r="X18" s="2939"/>
      <c r="Y18" s="3852"/>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9"/>
      <c r="Q19" s="2937" t="str">
        <f>B19</f>
        <v>公共配套设施</v>
      </c>
      <c r="R19" s="774" t="s">
        <v>21</v>
      </c>
      <c r="S19" s="775">
        <f>F19</f>
        <v>100</v>
      </c>
      <c r="T19" s="774" t="s">
        <v>21</v>
      </c>
      <c r="U19" s="775">
        <f>H19</f>
        <v>100</v>
      </c>
      <c r="V19" s="774" t="s">
        <v>21</v>
      </c>
      <c r="W19" s="775">
        <f>J19</f>
        <v>100</v>
      </c>
      <c r="X19" s="2939"/>
      <c r="Y19" s="3852"/>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59"/>
      <c r="Q20" s="2937"/>
      <c r="R20" s="774"/>
      <c r="S20" s="775"/>
      <c r="T20" s="774"/>
      <c r="U20" s="775"/>
      <c r="V20" s="774"/>
      <c r="W20" s="775"/>
      <c r="X20" s="2939"/>
      <c r="Y20" s="3852"/>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9"/>
      <c r="Q21" s="2937" t="str">
        <f>B21</f>
        <v>基础设施水平</v>
      </c>
      <c r="R21" s="774" t="s">
        <v>17</v>
      </c>
      <c r="S21" s="775">
        <f>F21</f>
        <v>100</v>
      </c>
      <c r="T21" s="774" t="s">
        <v>17</v>
      </c>
      <c r="U21" s="775">
        <f>H21</f>
        <v>100</v>
      </c>
      <c r="V21" s="774" t="s">
        <v>17</v>
      </c>
      <c r="W21" s="775">
        <f>J21</f>
        <v>100</v>
      </c>
      <c r="X21" s="2939"/>
      <c r="Y21" s="3852"/>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59"/>
      <c r="Q22" s="2937"/>
      <c r="R22" s="774"/>
      <c r="S22" s="775"/>
      <c r="T22" s="774"/>
      <c r="U22" s="775"/>
      <c r="V22" s="774"/>
      <c r="W22" s="775"/>
      <c r="X22" s="2939"/>
      <c r="Y22" s="3852"/>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9"/>
      <c r="Q23" s="2937" t="str">
        <f>B23</f>
        <v>自然及人文环境</v>
      </c>
      <c r="R23" s="774" t="s">
        <v>21</v>
      </c>
      <c r="S23" s="775">
        <f>F23</f>
        <v>100</v>
      </c>
      <c r="T23" s="774" t="s">
        <v>21</v>
      </c>
      <c r="U23" s="775">
        <f>H23</f>
        <v>100</v>
      </c>
      <c r="V23" s="774" t="s">
        <v>21</v>
      </c>
      <c r="W23" s="775">
        <f>J23</f>
        <v>100</v>
      </c>
      <c r="X23" s="2939"/>
      <c r="Y23" s="3852"/>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59"/>
      <c r="Q24" s="2937"/>
      <c r="R24" s="774"/>
      <c r="S24" s="775"/>
      <c r="T24" s="774"/>
      <c r="U24" s="775"/>
      <c r="V24" s="774"/>
      <c r="W24" s="775"/>
      <c r="X24" s="2939"/>
      <c r="Y24" s="3852"/>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9"/>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52"/>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9"/>
      <c r="Q26" s="2937" t="str">
        <f t="shared" si="11"/>
        <v>朝向</v>
      </c>
      <c r="R26" s="774" t="s">
        <v>21</v>
      </c>
      <c r="S26" s="775">
        <f t="shared" si="12"/>
        <v>100</v>
      </c>
      <c r="T26" s="774" t="s">
        <v>21</v>
      </c>
      <c r="U26" s="775">
        <f t="shared" si="13"/>
        <v>100</v>
      </c>
      <c r="V26" s="774" t="s">
        <v>21</v>
      </c>
      <c r="W26" s="775">
        <f t="shared" si="14"/>
        <v>100</v>
      </c>
      <c r="X26" s="2939"/>
      <c r="Y26" s="3852"/>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9"/>
      <c r="Q27" s="2925">
        <f t="shared" si="11"/>
        <v>111</v>
      </c>
      <c r="R27" s="770" t="s">
        <v>21</v>
      </c>
      <c r="S27" s="771">
        <f t="shared" si="12"/>
        <v>100</v>
      </c>
      <c r="T27" s="770" t="s">
        <v>21</v>
      </c>
      <c r="U27" s="771">
        <f t="shared" si="13"/>
        <v>100</v>
      </c>
      <c r="V27" s="770" t="s">
        <v>21</v>
      </c>
      <c r="W27" s="771">
        <f t="shared" si="14"/>
        <v>100</v>
      </c>
      <c r="X27" s="772"/>
      <c r="Y27" s="3852"/>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9"/>
      <c r="Q28" s="2937">
        <f t="shared" si="11"/>
        <v>111</v>
      </c>
      <c r="R28" s="774" t="s">
        <v>21</v>
      </c>
      <c r="S28" s="775">
        <f t="shared" si="12"/>
        <v>100</v>
      </c>
      <c r="T28" s="774" t="s">
        <v>21</v>
      </c>
      <c r="U28" s="775">
        <f t="shared" si="13"/>
        <v>100</v>
      </c>
      <c r="V28" s="774" t="s">
        <v>21</v>
      </c>
      <c r="W28" s="775">
        <f t="shared" si="14"/>
        <v>100</v>
      </c>
      <c r="X28" s="2939"/>
      <c r="Y28" s="3852"/>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9"/>
      <c r="Q29" s="2937">
        <f t="shared" si="11"/>
        <v>111</v>
      </c>
      <c r="R29" s="774" t="s">
        <v>21</v>
      </c>
      <c r="S29" s="775">
        <f t="shared" si="12"/>
        <v>100</v>
      </c>
      <c r="T29" s="774" t="s">
        <v>21</v>
      </c>
      <c r="U29" s="775">
        <f t="shared" si="13"/>
        <v>100</v>
      </c>
      <c r="V29" s="774" t="s">
        <v>21</v>
      </c>
      <c r="W29" s="775">
        <f t="shared" si="14"/>
        <v>100</v>
      </c>
      <c r="X29" s="2939"/>
      <c r="Y29" s="3852"/>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9"/>
      <c r="Q30" s="2937">
        <f t="shared" si="11"/>
        <v>111</v>
      </c>
      <c r="R30" s="774" t="s">
        <v>21</v>
      </c>
      <c r="S30" s="775">
        <f t="shared" si="12"/>
        <v>100</v>
      </c>
      <c r="T30" s="774" t="s">
        <v>21</v>
      </c>
      <c r="U30" s="775">
        <f t="shared" si="13"/>
        <v>100</v>
      </c>
      <c r="V30" s="774" t="s">
        <v>21</v>
      </c>
      <c r="W30" s="775">
        <f t="shared" si="14"/>
        <v>100</v>
      </c>
      <c r="X30" s="2939"/>
      <c r="Y30" s="3852"/>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9"/>
      <c r="Q31" s="2937">
        <f t="shared" si="11"/>
        <v>111</v>
      </c>
      <c r="R31" s="774" t="s">
        <v>21</v>
      </c>
      <c r="S31" s="775">
        <f t="shared" si="12"/>
        <v>100</v>
      </c>
      <c r="T31" s="774" t="s">
        <v>21</v>
      </c>
      <c r="U31" s="775">
        <f t="shared" si="13"/>
        <v>100</v>
      </c>
      <c r="V31" s="774" t="s">
        <v>21</v>
      </c>
      <c r="W31" s="775">
        <f t="shared" si="14"/>
        <v>100</v>
      </c>
      <c r="X31" s="2939"/>
      <c r="Y31" s="3852"/>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53" t="s">
        <v>2566</v>
      </c>
      <c r="Q32" s="2937" t="str">
        <f t="shared" si="11"/>
        <v>建筑类型</v>
      </c>
      <c r="R32" s="774" t="s">
        <v>21</v>
      </c>
      <c r="S32" s="775">
        <f t="shared" si="12"/>
        <v>100</v>
      </c>
      <c r="T32" s="774" t="s">
        <v>21</v>
      </c>
      <c r="U32" s="775">
        <f t="shared" si="13"/>
        <v>100</v>
      </c>
      <c r="V32" s="774" t="s">
        <v>21</v>
      </c>
      <c r="W32" s="775">
        <f t="shared" si="14"/>
        <v>100</v>
      </c>
      <c r="X32" s="2939"/>
      <c r="Y32" s="3856"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54"/>
      <c r="Q33" s="776" t="str">
        <f t="shared" si="11"/>
        <v>项目建筑规模</v>
      </c>
      <c r="R33" s="777" t="s">
        <v>21</v>
      </c>
      <c r="S33" s="778" t="e">
        <f t="shared" si="12"/>
        <v>#N/A</v>
      </c>
      <c r="T33" s="777" t="s">
        <v>21</v>
      </c>
      <c r="U33" s="778" t="e">
        <f t="shared" si="13"/>
        <v>#N/A</v>
      </c>
      <c r="V33" s="777" t="s">
        <v>21</v>
      </c>
      <c r="W33" s="778" t="e">
        <f t="shared" si="14"/>
        <v>#N/A</v>
      </c>
      <c r="X33" s="779"/>
      <c r="Y33" s="3856"/>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54"/>
      <c r="Q34" s="2937" t="str">
        <f t="shared" si="11"/>
        <v>建筑结构</v>
      </c>
      <c r="R34" s="774" t="s">
        <v>21</v>
      </c>
      <c r="S34" s="775">
        <f t="shared" si="12"/>
        <v>100</v>
      </c>
      <c r="T34" s="774" t="s">
        <v>21</v>
      </c>
      <c r="U34" s="775">
        <f t="shared" si="13"/>
        <v>100</v>
      </c>
      <c r="V34" s="774" t="s">
        <v>21</v>
      </c>
      <c r="W34" s="775">
        <f t="shared" si="14"/>
        <v>100</v>
      </c>
      <c r="X34" s="2939"/>
      <c r="Y34" s="3856"/>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54"/>
      <c r="Q35" s="2937" t="str">
        <f t="shared" si="11"/>
        <v>建筑品质</v>
      </c>
      <c r="R35" s="774" t="s">
        <v>21</v>
      </c>
      <c r="S35" s="775">
        <f t="shared" si="12"/>
        <v>100</v>
      </c>
      <c r="T35" s="774" t="s">
        <v>21</v>
      </c>
      <c r="U35" s="775">
        <f t="shared" si="13"/>
        <v>100</v>
      </c>
      <c r="V35" s="774" t="s">
        <v>21</v>
      </c>
      <c r="W35" s="775">
        <f t="shared" si="14"/>
        <v>100</v>
      </c>
      <c r="X35" s="2939"/>
      <c r="Y35" s="3856"/>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54"/>
      <c r="Q36" s="2937" t="str">
        <f t="shared" si="11"/>
        <v>公共部分装修</v>
      </c>
      <c r="R36" s="774" t="s">
        <v>21</v>
      </c>
      <c r="S36" s="775">
        <f t="shared" si="12"/>
        <v>100</v>
      </c>
      <c r="T36" s="774" t="s">
        <v>21</v>
      </c>
      <c r="U36" s="775">
        <f t="shared" si="13"/>
        <v>100</v>
      </c>
      <c r="V36" s="774" t="s">
        <v>21</v>
      </c>
      <c r="W36" s="775">
        <f t="shared" si="14"/>
        <v>100</v>
      </c>
      <c r="X36" s="2939"/>
      <c r="Y36" s="3856"/>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54"/>
      <c r="Q37" s="2925" t="str">
        <f t="shared" si="11"/>
        <v>成新度</v>
      </c>
      <c r="R37" s="770" t="s">
        <v>21</v>
      </c>
      <c r="S37" s="771" t="e">
        <f t="shared" si="12"/>
        <v>#N/A</v>
      </c>
      <c r="T37" s="770" t="s">
        <v>21</v>
      </c>
      <c r="U37" s="771" t="e">
        <f t="shared" si="13"/>
        <v>#N/A</v>
      </c>
      <c r="V37" s="770" t="s">
        <v>21</v>
      </c>
      <c r="W37" s="771" t="e">
        <f t="shared" si="14"/>
        <v>#N/A</v>
      </c>
      <c r="X37" s="772"/>
      <c r="Y37" s="3856"/>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54" t="s">
        <v>2566</v>
      </c>
      <c r="Q38" s="2937" t="str">
        <f t="shared" si="11"/>
        <v>物业管理</v>
      </c>
      <c r="R38" s="774" t="s">
        <v>21</v>
      </c>
      <c r="S38" s="775">
        <f t="shared" si="12"/>
        <v>100</v>
      </c>
      <c r="T38" s="774" t="s">
        <v>21</v>
      </c>
      <c r="U38" s="775">
        <f t="shared" si="13"/>
        <v>100</v>
      </c>
      <c r="V38" s="774" t="s">
        <v>21</v>
      </c>
      <c r="W38" s="775">
        <f t="shared" si="14"/>
        <v>100</v>
      </c>
      <c r="X38" s="2939"/>
      <c r="Y38" s="3856"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54"/>
      <c r="Q39" s="2937" t="str">
        <f t="shared" si="11"/>
        <v>市政基础设施</v>
      </c>
      <c r="R39" s="774" t="s">
        <v>21</v>
      </c>
      <c r="S39" s="775">
        <f t="shared" si="12"/>
        <v>100</v>
      </c>
      <c r="T39" s="774" t="s">
        <v>21</v>
      </c>
      <c r="U39" s="775">
        <f t="shared" si="13"/>
        <v>100</v>
      </c>
      <c r="V39" s="774" t="s">
        <v>21</v>
      </c>
      <c r="W39" s="775">
        <f t="shared" si="14"/>
        <v>100</v>
      </c>
      <c r="X39" s="2939"/>
      <c r="Y39" s="3856"/>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54"/>
      <c r="Q40" s="2937" t="str">
        <f t="shared" si="11"/>
        <v>房型</v>
      </c>
      <c r="R40" s="774" t="s">
        <v>21</v>
      </c>
      <c r="S40" s="775">
        <f t="shared" si="12"/>
        <v>100</v>
      </c>
      <c r="T40" s="774" t="s">
        <v>21</v>
      </c>
      <c r="U40" s="775">
        <f t="shared" si="13"/>
        <v>100</v>
      </c>
      <c r="V40" s="774" t="s">
        <v>21</v>
      </c>
      <c r="W40" s="775">
        <f t="shared" si="14"/>
        <v>100</v>
      </c>
      <c r="X40" s="2939"/>
      <c r="Y40" s="3856"/>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54"/>
      <c r="Q41" s="776" t="str">
        <f t="shared" si="11"/>
        <v>单套/主力户型建筑面积</v>
      </c>
      <c r="R41" s="777" t="s">
        <v>21</v>
      </c>
      <c r="S41" s="778">
        <f t="shared" si="12"/>
        <v>100</v>
      </c>
      <c r="T41" s="777" t="s">
        <v>21</v>
      </c>
      <c r="U41" s="778">
        <f t="shared" si="13"/>
        <v>100</v>
      </c>
      <c r="V41" s="777" t="s">
        <v>21</v>
      </c>
      <c r="W41" s="778">
        <f t="shared" si="14"/>
        <v>100</v>
      </c>
      <c r="X41" s="779"/>
      <c r="Y41" s="3856"/>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54"/>
      <c r="Q42" s="2937" t="str">
        <f t="shared" si="11"/>
        <v>内部装修</v>
      </c>
      <c r="R42" s="774" t="s">
        <v>21</v>
      </c>
      <c r="S42" s="775">
        <f t="shared" si="12"/>
        <v>100</v>
      </c>
      <c r="T42" s="774" t="s">
        <v>21</v>
      </c>
      <c r="U42" s="775">
        <f t="shared" si="13"/>
        <v>100</v>
      </c>
      <c r="V42" s="774" t="s">
        <v>21</v>
      </c>
      <c r="W42" s="775">
        <f t="shared" si="14"/>
        <v>100</v>
      </c>
      <c r="X42" s="2939"/>
      <c r="Y42" s="3856"/>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54"/>
      <c r="Q43" s="2937" t="str">
        <f t="shared" si="11"/>
        <v>内部装修维护情况</v>
      </c>
      <c r="R43" s="774" t="s">
        <v>21</v>
      </c>
      <c r="S43" s="775">
        <f t="shared" si="12"/>
        <v>100</v>
      </c>
      <c r="T43" s="774" t="s">
        <v>21</v>
      </c>
      <c r="U43" s="775">
        <f t="shared" si="13"/>
        <v>100</v>
      </c>
      <c r="V43" s="774" t="s">
        <v>21</v>
      </c>
      <c r="W43" s="775">
        <f t="shared" si="14"/>
        <v>100</v>
      </c>
      <c r="X43" s="2939"/>
      <c r="Y43" s="3856"/>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54"/>
      <c r="Q44" s="2925">
        <f t="shared" si="11"/>
        <v>111</v>
      </c>
      <c r="R44" s="770" t="s">
        <v>21</v>
      </c>
      <c r="S44" s="771">
        <f t="shared" si="12"/>
        <v>100</v>
      </c>
      <c r="T44" s="770" t="s">
        <v>21</v>
      </c>
      <c r="U44" s="771">
        <f t="shared" si="13"/>
        <v>100</v>
      </c>
      <c r="V44" s="770" t="s">
        <v>21</v>
      </c>
      <c r="W44" s="771">
        <f t="shared" si="14"/>
        <v>100</v>
      </c>
      <c r="X44" s="772"/>
      <c r="Y44" s="3856"/>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54"/>
      <c r="Q45" s="2937">
        <f t="shared" si="11"/>
        <v>111</v>
      </c>
      <c r="R45" s="774" t="s">
        <v>21</v>
      </c>
      <c r="S45" s="775">
        <f t="shared" si="12"/>
        <v>100</v>
      </c>
      <c r="T45" s="774" t="s">
        <v>21</v>
      </c>
      <c r="U45" s="775">
        <f t="shared" si="13"/>
        <v>100</v>
      </c>
      <c r="V45" s="774" t="s">
        <v>21</v>
      </c>
      <c r="W45" s="775">
        <f t="shared" si="14"/>
        <v>100</v>
      </c>
      <c r="X45" s="2939"/>
      <c r="Y45" s="3856"/>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55"/>
      <c r="Q46" s="2937">
        <f t="shared" si="11"/>
        <v>111</v>
      </c>
      <c r="R46" s="774" t="s">
        <v>20</v>
      </c>
      <c r="S46" s="775">
        <f t="shared" si="12"/>
        <v>100</v>
      </c>
      <c r="T46" s="774" t="s">
        <v>20</v>
      </c>
      <c r="U46" s="775">
        <f t="shared" si="13"/>
        <v>100</v>
      </c>
      <c r="V46" s="774" t="s">
        <v>20</v>
      </c>
      <c r="W46" s="775">
        <f t="shared" si="14"/>
        <v>100</v>
      </c>
      <c r="X46" s="2939"/>
      <c r="Y46" s="3857"/>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49" t="str">
        <f>A47</f>
        <v>成交单价（元/平方米）</v>
      </c>
      <c r="Q47" s="3849"/>
      <c r="R47" s="3850">
        <f>E47</f>
        <v>0</v>
      </c>
      <c r="S47" s="3850"/>
      <c r="T47" s="3850">
        <f>G47</f>
        <v>0</v>
      </c>
      <c r="U47" s="3850"/>
      <c r="V47" s="3850">
        <f>I47</f>
        <v>0</v>
      </c>
      <c r="W47" s="385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46" t="str">
        <f>A49</f>
        <v>估价对象XX用房的比较价值（楼面单价，元/平方米）</v>
      </c>
      <c r="Q49" s="3847"/>
      <c r="R49" s="3848" t="e">
        <f>IF(F1="售价",ROUND(AVERAGE(R48:V48),0),ROUND(AVERAGE(R48:V48),1))</f>
        <v>#DIV/0!</v>
      </c>
      <c r="S49" s="3848"/>
      <c r="T49" s="3848"/>
      <c r="U49" s="3848"/>
      <c r="V49" s="3848"/>
      <c r="W49" s="384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2" t="s">
        <v>1404</v>
      </c>
      <c r="C6" s="1295">
        <f ca="1">ROUND(F6*F8*F7*(1-F9)/10000,0)</f>
        <v>0</v>
      </c>
      <c r="D6" s="164" t="s">
        <v>3034</v>
      </c>
      <c r="E6" s="347" t="s">
        <v>1406</v>
      </c>
      <c r="F6" s="348">
        <f ca="1">INDIRECT("'数据-取费表'!u"&amp;$G$1)</f>
        <v>0</v>
      </c>
      <c r="G6" s="1851"/>
      <c r="H6" s="1290" t="s">
        <v>1035</v>
      </c>
      <c r="I6" s="3892" t="s">
        <v>1404</v>
      </c>
      <c r="J6" s="346">
        <f ca="1">ROUND(M6*M8*M7*(1-M9)/10000,0)</f>
        <v>0</v>
      </c>
      <c r="K6" s="164" t="s">
        <v>3033</v>
      </c>
      <c r="L6" s="347" t="s">
        <v>1406</v>
      </c>
      <c r="M6" s="348">
        <f ca="1">INDIRECT("'数据-取费表'!z"&amp;$G$1)</f>
        <v>0</v>
      </c>
    </row>
    <row r="7" spans="1:37" ht="18" customHeight="1">
      <c r="A7" s="1294"/>
      <c r="B7" s="3893"/>
      <c r="C7" s="1296"/>
      <c r="D7" s="352"/>
      <c r="E7" s="2936" t="s">
        <v>1407</v>
      </c>
      <c r="F7" s="348">
        <f ca="1">IF(INDIRECT("'数据-取费表'!ah"&amp;$G$1)="",INDIRECT("'数据-取费表'!k"&amp;$G$1),INDIRECT("'数据-取费表'!ah"&amp;$G$1))</f>
        <v>0</v>
      </c>
      <c r="G7" s="1851"/>
      <c r="H7" s="349"/>
      <c r="I7" s="3893"/>
      <c r="J7" s="351"/>
      <c r="K7" s="352"/>
      <c r="L7" s="347" t="s">
        <v>1407</v>
      </c>
      <c r="M7" s="348">
        <f ca="1">F7</f>
        <v>0</v>
      </c>
    </row>
    <row r="8" spans="1:37" ht="18" customHeight="1">
      <c r="A8" s="349"/>
      <c r="B8" s="3893"/>
      <c r="C8" s="351"/>
      <c r="D8" s="352"/>
      <c r="E8" s="347" t="s">
        <v>1408</v>
      </c>
      <c r="F8" s="348">
        <f ca="1">INDIRECT("'数据-取费表'!ai"&amp;$G$1)</f>
        <v>365</v>
      </c>
      <c r="G8" s="1851"/>
      <c r="H8" s="349"/>
      <c r="I8" s="3893"/>
      <c r="J8" s="351"/>
      <c r="K8" s="352"/>
      <c r="L8" s="347" t="s">
        <v>1408</v>
      </c>
      <c r="M8" s="348">
        <f ca="1">INDIRECT("'数据-取费表'!ai"&amp;$G$1)</f>
        <v>365</v>
      </c>
    </row>
    <row r="9" spans="1:37" ht="18" customHeight="1">
      <c r="A9" s="349"/>
      <c r="B9" s="3894"/>
      <c r="C9" s="351"/>
      <c r="D9" s="352"/>
      <c r="E9" s="347" t="s">
        <v>1409</v>
      </c>
      <c r="F9" s="357">
        <f ca="1">INDIRECT("'数据-取费表'!w"&amp;$G$1)</f>
        <v>0</v>
      </c>
      <c r="G9" s="1851"/>
      <c r="H9" s="349"/>
      <c r="I9" s="3894"/>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5" t="s">
        <v>1550</v>
      </c>
      <c r="L53" s="3896"/>
      <c r="O53" s="1884" t="s">
        <v>1046</v>
      </c>
      <c r="P53" s="1885" t="s">
        <v>1551</v>
      </c>
      <c r="Q53" s="1886" t="e">
        <f ca="1">Q47+Q48</f>
        <v>#N/A</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64" t="s">
        <v>2647</v>
      </c>
      <c r="D4" s="3865"/>
      <c r="E4" s="3866" t="s">
        <v>2648</v>
      </c>
      <c r="F4" s="3867"/>
      <c r="G4" s="3864" t="s">
        <v>2649</v>
      </c>
      <c r="H4" s="3865"/>
      <c r="I4" s="3864" t="s">
        <v>2650</v>
      </c>
      <c r="J4" s="3865"/>
      <c r="K4" s="610" t="s">
        <v>2651</v>
      </c>
      <c r="L4" s="1129"/>
      <c r="M4" s="1130"/>
      <c r="N4" s="1130"/>
      <c r="O4" s="1130"/>
      <c r="P4" s="3868" t="s">
        <v>2652</v>
      </c>
      <c r="Q4" s="3869"/>
      <c r="R4" s="3874" t="s">
        <v>2648</v>
      </c>
      <c r="S4" s="3875"/>
      <c r="T4" s="3874" t="s">
        <v>2649</v>
      </c>
      <c r="U4" s="3875"/>
      <c r="V4" s="3880" t="s">
        <v>2650</v>
      </c>
      <c r="W4" s="3880"/>
      <c r="X4" s="1813"/>
      <c r="Y4" s="3874" t="s">
        <v>2652</v>
      </c>
      <c r="Z4" s="3875"/>
      <c r="AA4" s="3861" t="s">
        <v>2648</v>
      </c>
      <c r="AB4" s="3862" t="s">
        <v>2649</v>
      </c>
      <c r="AC4" s="3861" t="s">
        <v>2650</v>
      </c>
    </row>
    <row r="5" spans="1:29" ht="15">
      <c r="A5" s="404"/>
      <c r="B5" s="405"/>
      <c r="C5" s="3883" t="s">
        <v>2543</v>
      </c>
      <c r="D5" s="3884"/>
      <c r="E5" s="3890" t="s">
        <v>2544</v>
      </c>
      <c r="F5" s="3891"/>
      <c r="G5" s="3883" t="s">
        <v>2545</v>
      </c>
      <c r="H5" s="3884"/>
      <c r="I5" s="3883" t="s">
        <v>2546</v>
      </c>
      <c r="J5" s="3884"/>
      <c r="K5" s="610"/>
      <c r="L5" s="1129"/>
      <c r="M5" s="1130"/>
      <c r="N5" s="1130"/>
      <c r="O5" s="1130"/>
      <c r="P5" s="3870"/>
      <c r="Q5" s="3871"/>
      <c r="R5" s="3876"/>
      <c r="S5" s="3877"/>
      <c r="T5" s="3876"/>
      <c r="U5" s="3877"/>
      <c r="V5" s="3880"/>
      <c r="W5" s="3880"/>
      <c r="X5" s="1813"/>
      <c r="Y5" s="3876"/>
      <c r="Z5" s="3877"/>
      <c r="AA5" s="3862"/>
      <c r="AB5" s="3862"/>
      <c r="AC5" s="3862"/>
    </row>
    <row r="6" spans="1:29" ht="15.75" thickBot="1">
      <c r="A6" s="406"/>
      <c r="B6" s="407"/>
      <c r="C6" s="3881" t="s">
        <v>2547</v>
      </c>
      <c r="D6" s="3882"/>
      <c r="E6" s="3888" t="s">
        <v>2547</v>
      </c>
      <c r="F6" s="3889"/>
      <c r="G6" s="3881" t="s">
        <v>2547</v>
      </c>
      <c r="H6" s="3882"/>
      <c r="I6" s="3881" t="s">
        <v>2547</v>
      </c>
      <c r="J6" s="3882"/>
      <c r="K6" s="610" t="s">
        <v>2548</v>
      </c>
      <c r="L6" s="1129"/>
      <c r="M6" s="1130"/>
      <c r="N6" s="1130"/>
      <c r="O6" s="1130"/>
      <c r="P6" s="3872"/>
      <c r="Q6" s="3873"/>
      <c r="R6" s="3876"/>
      <c r="S6" s="3877"/>
      <c r="T6" s="3878"/>
      <c r="U6" s="3879"/>
      <c r="V6" s="3880"/>
      <c r="W6" s="3880"/>
      <c r="X6" s="1813"/>
      <c r="Y6" s="3878"/>
      <c r="Z6" s="3879"/>
      <c r="AA6" s="3863"/>
      <c r="AB6" s="3863"/>
      <c r="AC6" s="3863"/>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85" t="s">
        <v>2550</v>
      </c>
      <c r="Q7" s="3887"/>
      <c r="R7" s="770" t="s">
        <v>17</v>
      </c>
      <c r="S7" s="771">
        <f t="shared" ref="S7:S14" si="0">F7</f>
        <v>0</v>
      </c>
      <c r="T7" s="770" t="s">
        <v>17</v>
      </c>
      <c r="U7" s="771">
        <f t="shared" ref="U7:U14" si="1">H7</f>
        <v>0</v>
      </c>
      <c r="V7" s="770" t="s">
        <v>17</v>
      </c>
      <c r="W7" s="771">
        <f t="shared" ref="W7:W14" si="2">J7</f>
        <v>0</v>
      </c>
      <c r="X7" s="772"/>
      <c r="Y7" s="3885" t="s">
        <v>2550</v>
      </c>
      <c r="Z7" s="388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85" t="s">
        <v>2553</v>
      </c>
      <c r="Q8" s="3886"/>
      <c r="R8" s="770" t="s">
        <v>17</v>
      </c>
      <c r="S8" s="771">
        <f t="shared" si="0"/>
        <v>0</v>
      </c>
      <c r="T8" s="770" t="s">
        <v>17</v>
      </c>
      <c r="U8" s="771">
        <f t="shared" si="1"/>
        <v>0</v>
      </c>
      <c r="V8" s="770" t="s">
        <v>17</v>
      </c>
      <c r="W8" s="771">
        <f t="shared" si="2"/>
        <v>0</v>
      </c>
      <c r="X8" s="772"/>
      <c r="Y8" s="3885" t="s">
        <v>2553</v>
      </c>
      <c r="Z8" s="388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49" t="s">
        <v>2556</v>
      </c>
      <c r="Q9" s="1795" t="str">
        <f t="shared" ref="Q9:Q14" si="6">B9</f>
        <v>用途</v>
      </c>
      <c r="R9" s="770" t="s">
        <v>17</v>
      </c>
      <c r="S9" s="771">
        <f t="shared" si="0"/>
        <v>100</v>
      </c>
      <c r="T9" s="770" t="s">
        <v>17</v>
      </c>
      <c r="U9" s="771">
        <f t="shared" si="1"/>
        <v>100</v>
      </c>
      <c r="V9" s="770" t="s">
        <v>17</v>
      </c>
      <c r="W9" s="771">
        <f t="shared" si="2"/>
        <v>100</v>
      </c>
      <c r="X9" s="772"/>
      <c r="Y9" s="370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49"/>
      <c r="Q10" s="1795" t="str">
        <f t="shared" si="6"/>
        <v>土地使用年限（年）</v>
      </c>
      <c r="R10" s="770" t="s">
        <v>17</v>
      </c>
      <c r="S10" s="771">
        <f t="shared" si="0"/>
        <v>100</v>
      </c>
      <c r="T10" s="770" t="s">
        <v>17</v>
      </c>
      <c r="U10" s="771">
        <f t="shared" si="1"/>
        <v>100</v>
      </c>
      <c r="V10" s="770" t="s">
        <v>17</v>
      </c>
      <c r="W10" s="771">
        <f t="shared" si="2"/>
        <v>100</v>
      </c>
      <c r="X10" s="772"/>
      <c r="Y10" s="37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49"/>
      <c r="Q11" s="1795">
        <f t="shared" si="6"/>
        <v>111</v>
      </c>
      <c r="R11" s="770" t="s">
        <v>17</v>
      </c>
      <c r="S11" s="771">
        <f t="shared" si="0"/>
        <v>100</v>
      </c>
      <c r="T11" s="770" t="s">
        <v>17</v>
      </c>
      <c r="U11" s="771">
        <f t="shared" si="1"/>
        <v>100</v>
      </c>
      <c r="V11" s="770" t="s">
        <v>17</v>
      </c>
      <c r="W11" s="771">
        <f t="shared" si="2"/>
        <v>100</v>
      </c>
      <c r="X11" s="772"/>
      <c r="Y11" s="37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49"/>
      <c r="Q12" s="1795">
        <f t="shared" si="6"/>
        <v>111</v>
      </c>
      <c r="R12" s="770" t="s">
        <v>17</v>
      </c>
      <c r="S12" s="771">
        <f t="shared" si="0"/>
        <v>100</v>
      </c>
      <c r="T12" s="770" t="s">
        <v>17</v>
      </c>
      <c r="U12" s="771">
        <f t="shared" si="1"/>
        <v>100</v>
      </c>
      <c r="V12" s="770" t="s">
        <v>17</v>
      </c>
      <c r="W12" s="771">
        <f t="shared" si="2"/>
        <v>100</v>
      </c>
      <c r="X12" s="772"/>
      <c r="Y12" s="37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49"/>
      <c r="Q13" s="1795">
        <f t="shared" si="6"/>
        <v>111</v>
      </c>
      <c r="R13" s="770" t="s">
        <v>17</v>
      </c>
      <c r="S13" s="771">
        <f t="shared" si="0"/>
        <v>100</v>
      </c>
      <c r="T13" s="770" t="s">
        <v>17</v>
      </c>
      <c r="U13" s="771">
        <f t="shared" si="1"/>
        <v>100</v>
      </c>
      <c r="V13" s="770" t="s">
        <v>17</v>
      </c>
      <c r="W13" s="771">
        <f t="shared" si="2"/>
        <v>100</v>
      </c>
      <c r="X13" s="772"/>
      <c r="Y13" s="3704"/>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51" t="s">
        <v>2561</v>
      </c>
      <c r="Q14" s="1810" t="str">
        <f t="shared" si="6"/>
        <v>交通便捷度</v>
      </c>
      <c r="R14" s="774" t="s">
        <v>17</v>
      </c>
      <c r="S14" s="775">
        <f t="shared" si="0"/>
        <v>100</v>
      </c>
      <c r="T14" s="774" t="s">
        <v>17</v>
      </c>
      <c r="U14" s="775">
        <f t="shared" si="1"/>
        <v>100</v>
      </c>
      <c r="V14" s="774" t="s">
        <v>17</v>
      </c>
      <c r="W14" s="775">
        <f t="shared" si="2"/>
        <v>100</v>
      </c>
      <c r="X14" s="1813"/>
      <c r="Y14" s="3851"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52"/>
      <c r="Q15" s="1810"/>
      <c r="R15" s="774"/>
      <c r="S15" s="775"/>
      <c r="T15" s="774"/>
      <c r="U15" s="775"/>
      <c r="V15" s="774"/>
      <c r="W15" s="775"/>
      <c r="X15" s="1813"/>
      <c r="Y15" s="3852"/>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52"/>
      <c r="Q16" s="1810" t="str">
        <f>B16</f>
        <v>公共配套设施</v>
      </c>
      <c r="R16" s="774" t="s">
        <v>17</v>
      </c>
      <c r="S16" s="775">
        <f>F16</f>
        <v>100</v>
      </c>
      <c r="T16" s="774" t="s">
        <v>17</v>
      </c>
      <c r="U16" s="775">
        <f>H16</f>
        <v>100</v>
      </c>
      <c r="V16" s="774" t="s">
        <v>17</v>
      </c>
      <c r="W16" s="775">
        <f>J16</f>
        <v>100</v>
      </c>
      <c r="X16" s="1813"/>
      <c r="Y16" s="385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52"/>
      <c r="Q17" s="1810"/>
      <c r="R17" s="774"/>
      <c r="S17" s="775"/>
      <c r="T17" s="774"/>
      <c r="U17" s="775"/>
      <c r="V17" s="774"/>
      <c r="W17" s="775"/>
      <c r="X17" s="1813"/>
      <c r="Y17" s="3852"/>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52"/>
      <c r="Q18" s="1810" t="str">
        <f>B18</f>
        <v>基础设施水平</v>
      </c>
      <c r="R18" s="774" t="s">
        <v>17</v>
      </c>
      <c r="S18" s="775">
        <f>F18</f>
        <v>100</v>
      </c>
      <c r="T18" s="774" t="s">
        <v>17</v>
      </c>
      <c r="U18" s="775">
        <f>H18</f>
        <v>100</v>
      </c>
      <c r="V18" s="774" t="s">
        <v>17</v>
      </c>
      <c r="W18" s="775">
        <f>J18</f>
        <v>100</v>
      </c>
      <c r="X18" s="1813"/>
      <c r="Y18" s="385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52"/>
      <c r="Q19" s="1810"/>
      <c r="R19" s="774"/>
      <c r="S19" s="775"/>
      <c r="T19" s="774"/>
      <c r="U19" s="775"/>
      <c r="V19" s="774"/>
      <c r="W19" s="775"/>
      <c r="X19" s="1813"/>
      <c r="Y19" s="3852"/>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52"/>
      <c r="Q20" s="1810" t="str">
        <f>B20</f>
        <v>自然及人文环境</v>
      </c>
      <c r="R20" s="774" t="s">
        <v>17</v>
      </c>
      <c r="S20" s="775">
        <f>F20</f>
        <v>100</v>
      </c>
      <c r="T20" s="774" t="s">
        <v>17</v>
      </c>
      <c r="U20" s="775">
        <f>H20</f>
        <v>100</v>
      </c>
      <c r="V20" s="774" t="s">
        <v>17</v>
      </c>
      <c r="W20" s="775">
        <f>J20</f>
        <v>100</v>
      </c>
      <c r="X20" s="1813"/>
      <c r="Y20" s="385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52"/>
      <c r="Q21" s="1810"/>
      <c r="R21" s="774"/>
      <c r="S21" s="775"/>
      <c r="T21" s="774"/>
      <c r="U21" s="775"/>
      <c r="V21" s="774"/>
      <c r="W21" s="775"/>
      <c r="X21" s="1813"/>
      <c r="Y21" s="3852"/>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52"/>
      <c r="Q22" s="1810" t="str">
        <f>B22</f>
        <v>楼层</v>
      </c>
      <c r="R22" s="774" t="s">
        <v>17</v>
      </c>
      <c r="S22" s="775">
        <f>F22</f>
        <v>100</v>
      </c>
      <c r="T22" s="774" t="s">
        <v>17</v>
      </c>
      <c r="U22" s="775">
        <f>H22</f>
        <v>100</v>
      </c>
      <c r="V22" s="774" t="s">
        <v>17</v>
      </c>
      <c r="W22" s="775">
        <f>J22</f>
        <v>100</v>
      </c>
      <c r="X22" s="1813"/>
      <c r="Y22" s="385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52"/>
      <c r="Q23" s="1810">
        <f>B23</f>
        <v>111</v>
      </c>
      <c r="R23" s="774" t="s">
        <v>17</v>
      </c>
      <c r="S23" s="775">
        <f>F23</f>
        <v>100</v>
      </c>
      <c r="T23" s="774" t="s">
        <v>17</v>
      </c>
      <c r="U23" s="775">
        <f>H23</f>
        <v>100</v>
      </c>
      <c r="V23" s="774" t="s">
        <v>17</v>
      </c>
      <c r="W23" s="775">
        <f>J23</f>
        <v>100</v>
      </c>
      <c r="X23" s="1813"/>
      <c r="Y23" s="385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52"/>
      <c r="Q24" s="1810">
        <f t="shared" ref="Q24:Q36" si="11">B24</f>
        <v>111</v>
      </c>
      <c r="R24" s="774" t="s">
        <v>17</v>
      </c>
      <c r="S24" s="775">
        <f>F24</f>
        <v>100</v>
      </c>
      <c r="T24" s="774" t="s">
        <v>17</v>
      </c>
      <c r="U24" s="775">
        <f>H24</f>
        <v>100</v>
      </c>
      <c r="V24" s="774" t="s">
        <v>17</v>
      </c>
      <c r="W24" s="775">
        <f>J24</f>
        <v>100</v>
      </c>
      <c r="X24" s="1813"/>
      <c r="Y24" s="385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52"/>
      <c r="Q25" s="1795">
        <f t="shared" si="11"/>
        <v>111</v>
      </c>
      <c r="R25" s="770" t="s">
        <v>17</v>
      </c>
      <c r="S25" s="771">
        <f>F25</f>
        <v>100</v>
      </c>
      <c r="T25" s="770" t="s">
        <v>17</v>
      </c>
      <c r="U25" s="771">
        <f>H25</f>
        <v>100</v>
      </c>
      <c r="V25" s="770" t="s">
        <v>17</v>
      </c>
      <c r="W25" s="771">
        <f>J25</f>
        <v>100</v>
      </c>
      <c r="X25" s="772"/>
      <c r="Y25" s="3852"/>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8"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56"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56"/>
      <c r="Q27" s="776" t="str">
        <f t="shared" si="11"/>
        <v>项目停车位配比</v>
      </c>
      <c r="R27" s="777" t="s">
        <v>17</v>
      </c>
      <c r="S27" s="778">
        <f t="shared" si="12"/>
        <v>100</v>
      </c>
      <c r="T27" s="777" t="s">
        <v>17</v>
      </c>
      <c r="U27" s="778">
        <f t="shared" si="13"/>
        <v>100</v>
      </c>
      <c r="V27" s="777" t="s">
        <v>17</v>
      </c>
      <c r="W27" s="778">
        <f t="shared" si="14"/>
        <v>100</v>
      </c>
      <c r="X27" s="779"/>
      <c r="Y27" s="3856"/>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56"/>
      <c r="Q28" s="1810" t="str">
        <f t="shared" si="11"/>
        <v>公共部分装修</v>
      </c>
      <c r="R28" s="774" t="s">
        <v>17</v>
      </c>
      <c r="S28" s="775">
        <f t="shared" si="12"/>
        <v>100</v>
      </c>
      <c r="T28" s="774" t="s">
        <v>17</v>
      </c>
      <c r="U28" s="775">
        <f t="shared" si="13"/>
        <v>100</v>
      </c>
      <c r="V28" s="774" t="s">
        <v>17</v>
      </c>
      <c r="W28" s="775">
        <f t="shared" si="14"/>
        <v>100</v>
      </c>
      <c r="X28" s="1813"/>
      <c r="Y28" s="3856"/>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56"/>
      <c r="Q29" s="1810" t="str">
        <f t="shared" si="11"/>
        <v>成新率</v>
      </c>
      <c r="R29" s="774" t="s">
        <v>17</v>
      </c>
      <c r="S29" s="775" t="e">
        <f t="shared" si="12"/>
        <v>#N/A</v>
      </c>
      <c r="T29" s="774" t="s">
        <v>17</v>
      </c>
      <c r="U29" s="775" t="e">
        <f t="shared" si="13"/>
        <v>#N/A</v>
      </c>
      <c r="V29" s="774" t="s">
        <v>17</v>
      </c>
      <c r="W29" s="775" t="e">
        <f t="shared" si="14"/>
        <v>#N/A</v>
      </c>
      <c r="X29" s="1813"/>
      <c r="Y29" s="3856"/>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56"/>
      <c r="Q30" s="1810" t="str">
        <f t="shared" si="11"/>
        <v>物业等级</v>
      </c>
      <c r="R30" s="774" t="s">
        <v>17</v>
      </c>
      <c r="S30" s="775">
        <f t="shared" si="12"/>
        <v>100</v>
      </c>
      <c r="T30" s="774" t="s">
        <v>17</v>
      </c>
      <c r="U30" s="775">
        <f t="shared" si="13"/>
        <v>100</v>
      </c>
      <c r="V30" s="774" t="s">
        <v>17</v>
      </c>
      <c r="W30" s="775">
        <f t="shared" si="14"/>
        <v>100</v>
      </c>
      <c r="X30" s="1813"/>
      <c r="Y30" s="3856"/>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56"/>
      <c r="Q31" s="1795" t="str">
        <f t="shared" si="11"/>
        <v>停车位面积</v>
      </c>
      <c r="R31" s="770" t="s">
        <v>17</v>
      </c>
      <c r="S31" s="771" t="e">
        <f t="shared" si="12"/>
        <v>#N/A</v>
      </c>
      <c r="T31" s="770" t="s">
        <v>17</v>
      </c>
      <c r="U31" s="771" t="e">
        <f t="shared" si="13"/>
        <v>#N/A</v>
      </c>
      <c r="V31" s="770" t="s">
        <v>17</v>
      </c>
      <c r="W31" s="771" t="e">
        <f t="shared" si="14"/>
        <v>#N/A</v>
      </c>
      <c r="X31" s="772"/>
      <c r="Y31" s="385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56" t="s">
        <v>2566</v>
      </c>
      <c r="Q32" s="1810" t="str">
        <f t="shared" si="11"/>
        <v>车位类型</v>
      </c>
      <c r="R32" s="774" t="s">
        <v>17</v>
      </c>
      <c r="S32" s="775">
        <f t="shared" si="12"/>
        <v>100</v>
      </c>
      <c r="T32" s="774" t="s">
        <v>17</v>
      </c>
      <c r="U32" s="775">
        <f t="shared" si="13"/>
        <v>100</v>
      </c>
      <c r="V32" s="774" t="s">
        <v>17</v>
      </c>
      <c r="W32" s="775">
        <f t="shared" si="14"/>
        <v>100</v>
      </c>
      <c r="X32" s="1813"/>
      <c r="Y32" s="3856"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56"/>
      <c r="Q33" s="1810" t="str">
        <f t="shared" si="11"/>
        <v>是否直接入户</v>
      </c>
      <c r="R33" s="774" t="s">
        <v>17</v>
      </c>
      <c r="S33" s="775">
        <f t="shared" si="12"/>
        <v>100</v>
      </c>
      <c r="T33" s="774" t="s">
        <v>17</v>
      </c>
      <c r="U33" s="775">
        <f t="shared" si="13"/>
        <v>100</v>
      </c>
      <c r="V33" s="774" t="s">
        <v>17</v>
      </c>
      <c r="W33" s="775">
        <f t="shared" si="14"/>
        <v>100</v>
      </c>
      <c r="X33" s="1813"/>
      <c r="Y33" s="385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56"/>
      <c r="Q34" s="1810">
        <f t="shared" si="11"/>
        <v>111</v>
      </c>
      <c r="R34" s="774" t="s">
        <v>17</v>
      </c>
      <c r="S34" s="775">
        <f t="shared" si="12"/>
        <v>100</v>
      </c>
      <c r="T34" s="774" t="s">
        <v>17</v>
      </c>
      <c r="U34" s="775">
        <f t="shared" si="13"/>
        <v>100</v>
      </c>
      <c r="V34" s="774" t="s">
        <v>17</v>
      </c>
      <c r="W34" s="775">
        <f t="shared" si="14"/>
        <v>100</v>
      </c>
      <c r="X34" s="1813"/>
      <c r="Y34" s="385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56"/>
      <c r="Q35" s="776">
        <f t="shared" si="11"/>
        <v>111</v>
      </c>
      <c r="R35" s="777" t="s">
        <v>17</v>
      </c>
      <c r="S35" s="778">
        <f t="shared" si="12"/>
        <v>100</v>
      </c>
      <c r="T35" s="777" t="s">
        <v>17</v>
      </c>
      <c r="U35" s="778">
        <f t="shared" si="13"/>
        <v>100</v>
      </c>
      <c r="V35" s="777" t="s">
        <v>17</v>
      </c>
      <c r="W35" s="778">
        <f t="shared" si="14"/>
        <v>100</v>
      </c>
      <c r="X35" s="779"/>
      <c r="Y35" s="385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56"/>
      <c r="Q36" s="1810">
        <f t="shared" si="11"/>
        <v>111</v>
      </c>
      <c r="R36" s="774" t="s">
        <v>17</v>
      </c>
      <c r="S36" s="775">
        <f t="shared" si="12"/>
        <v>100</v>
      </c>
      <c r="T36" s="774" t="s">
        <v>17</v>
      </c>
      <c r="U36" s="775">
        <f t="shared" si="13"/>
        <v>100</v>
      </c>
      <c r="V36" s="774" t="s">
        <v>17</v>
      </c>
      <c r="W36" s="775">
        <f t="shared" si="14"/>
        <v>100</v>
      </c>
      <c r="X36" s="1813"/>
      <c r="Y36" s="3856"/>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49" t="str">
        <f>A37</f>
        <v>成交单价</v>
      </c>
      <c r="Q37" s="3849"/>
      <c r="R37" s="3850">
        <f>E37</f>
        <v>7000</v>
      </c>
      <c r="S37" s="3850"/>
      <c r="T37" s="3850">
        <f>G37</f>
        <v>7000</v>
      </c>
      <c r="U37" s="3850"/>
      <c r="V37" s="3850">
        <f>I37</f>
        <v>7000</v>
      </c>
      <c r="W37" s="385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49" t="str">
        <f>A38</f>
        <v>比较价值（元/平方米）</v>
      </c>
      <c r="Q38" s="3849"/>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46" t="str">
        <f>A39</f>
        <v>估价对象XX用房的比较价值（楼面单价，元/平方米）</v>
      </c>
      <c r="Q39" s="3847"/>
      <c r="R39" s="3848" t="e">
        <f>IF(F1="售价",ROUND(AVERAGE(R38:V38),0),ROUND(AVERAGE(R38:V38),1))</f>
        <v>#DIV/0!</v>
      </c>
      <c r="S39" s="3848"/>
      <c r="T39" s="3848"/>
      <c r="U39" s="3848"/>
      <c r="V39" s="3848"/>
      <c r="W39" s="384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92" t="s">
        <v>1404</v>
      </c>
      <c r="C6" s="1295">
        <f ca="1">ROUND(F6*F8*F7*(1-F9)/10000,0)</f>
        <v>0</v>
      </c>
      <c r="D6" s="164" t="s">
        <v>3034</v>
      </c>
      <c r="E6" s="347" t="s">
        <v>1406</v>
      </c>
      <c r="F6" s="348">
        <f ca="1">INDIRECT("'数据-取费表'!u"&amp;$G$1)</f>
        <v>0</v>
      </c>
      <c r="G6" s="1851"/>
      <c r="H6" s="1290" t="s">
        <v>1035</v>
      </c>
      <c r="I6" s="3892" t="s">
        <v>1404</v>
      </c>
      <c r="J6" s="346">
        <f ca="1">ROUND(M6*M8*M7*(1-M9)/10000,0)</f>
        <v>0</v>
      </c>
      <c r="K6" s="164" t="s">
        <v>3033</v>
      </c>
      <c r="L6" s="347" t="s">
        <v>1406</v>
      </c>
      <c r="M6" s="348">
        <f ca="1">INDIRECT("'数据-取费表'!z"&amp;$G$1)</f>
        <v>0</v>
      </c>
    </row>
    <row r="7" spans="1:37" ht="18" customHeight="1">
      <c r="A7" s="1294"/>
      <c r="B7" s="3893"/>
      <c r="C7" s="1296"/>
      <c r="D7" s="352"/>
      <c r="E7" s="2936" t="s">
        <v>1407</v>
      </c>
      <c r="F7" s="348">
        <f ca="1">IF(INDIRECT("'数据-取费表'!ah"&amp;$G$1)="",INDIRECT("'数据-取费表'!k"&amp;$G$1),INDIRECT("'数据-取费表'!ah"&amp;$G$1))</f>
        <v>0</v>
      </c>
      <c r="G7" s="1851"/>
      <c r="H7" s="349"/>
      <c r="I7" s="3893"/>
      <c r="J7" s="351"/>
      <c r="K7" s="352"/>
      <c r="L7" s="347" t="s">
        <v>1407</v>
      </c>
      <c r="M7" s="348">
        <f ca="1">F7</f>
        <v>0</v>
      </c>
    </row>
    <row r="8" spans="1:37" ht="18" customHeight="1">
      <c r="A8" s="349"/>
      <c r="B8" s="3893"/>
      <c r="C8" s="351"/>
      <c r="D8" s="352"/>
      <c r="E8" s="347" t="s">
        <v>1408</v>
      </c>
      <c r="F8" s="348">
        <f ca="1">INDIRECT("'数据-取费表'!ai"&amp;$G$1)</f>
        <v>365</v>
      </c>
      <c r="G8" s="1851"/>
      <c r="H8" s="349"/>
      <c r="I8" s="3893"/>
      <c r="J8" s="351"/>
      <c r="K8" s="352"/>
      <c r="L8" s="347" t="s">
        <v>1408</v>
      </c>
      <c r="M8" s="348">
        <f ca="1">INDIRECT("'数据-取费表'!ai"&amp;$G$1)</f>
        <v>365</v>
      </c>
    </row>
    <row r="9" spans="1:37" ht="18" customHeight="1">
      <c r="A9" s="349"/>
      <c r="B9" s="3894"/>
      <c r="C9" s="351"/>
      <c r="D9" s="352"/>
      <c r="E9" s="347" t="s">
        <v>1409</v>
      </c>
      <c r="F9" s="357">
        <f ca="1">INDIRECT("'数据-取费表'!w"&amp;$G$1)</f>
        <v>0</v>
      </c>
      <c r="G9" s="1851"/>
      <c r="H9" s="349"/>
      <c r="I9" s="3894"/>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t="e">
        <f ca="1">ROUND(J26/(1+F40)^F41,0)</f>
        <v>#N/A</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95" t="s">
        <v>1550</v>
      </c>
      <c r="L53" s="3896"/>
      <c r="O53" s="1884" t="s">
        <v>1046</v>
      </c>
      <c r="P53" s="1885" t="s">
        <v>1551</v>
      </c>
      <c r="Q53" s="1886" t="e">
        <f ca="1">Q47+Q48</f>
        <v>#N/A</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31.46</v>
      </c>
      <c r="O56" s="1884" t="s">
        <v>1040</v>
      </c>
      <c r="P56" s="1885" t="s">
        <v>1530</v>
      </c>
      <c r="Q56" s="1886" t="e">
        <f ca="1">C40+J29</f>
        <v>#N/A</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2E-3</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#N/A</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t="e">
        <f ca="1">F41</f>
        <v>#N/A</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#N/A</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#N/A</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3661</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892" t="s">
        <v>1404</v>
      </c>
      <c r="C6" s="1295" t="e">
        <f ca="1">ROUND(F6*F8*F7*(1-F9)/10000,0)</f>
        <v>#N/A</v>
      </c>
      <c r="D6" s="164" t="s">
        <v>3034</v>
      </c>
      <c r="E6" s="347" t="s">
        <v>1406</v>
      </c>
      <c r="F6" s="348" t="e">
        <f ca="1">INDIRECT("'数据-取费表'!u"&amp;$G$1)</f>
        <v>#N/A</v>
      </c>
      <c r="G6" s="1851"/>
      <c r="H6" s="1290" t="s">
        <v>1035</v>
      </c>
      <c r="I6" s="3892" t="s">
        <v>1404</v>
      </c>
      <c r="J6" s="346" t="e">
        <f ca="1">ROUND(M6*M8*M7*(1-M9)/10000,0)</f>
        <v>#N/A</v>
      </c>
      <c r="K6" s="164" t="s">
        <v>3033</v>
      </c>
      <c r="L6" s="347" t="s">
        <v>1406</v>
      </c>
      <c r="M6" s="348" t="e">
        <f ca="1">INDIRECT("'数据-取费表'!z"&amp;$G$1)</f>
        <v>#N/A</v>
      </c>
    </row>
    <row r="7" spans="1:37" ht="18" customHeight="1">
      <c r="A7" s="1294"/>
      <c r="B7" s="3893"/>
      <c r="C7" s="1296"/>
      <c r="D7" s="352"/>
      <c r="E7" s="1297" t="s">
        <v>1407</v>
      </c>
      <c r="F7" s="348" t="e">
        <f ca="1">IF(INDIRECT("'数据-取费表'!ah"&amp;$G$1)="",INDIRECT("'数据-取费表'!k"&amp;$G$1),INDIRECT("'数据-取费表'!ah"&amp;$G$1))</f>
        <v>#N/A</v>
      </c>
      <c r="G7" s="1851"/>
      <c r="H7" s="349"/>
      <c r="I7" s="3893"/>
      <c r="J7" s="351"/>
      <c r="K7" s="352"/>
      <c r="L7" s="347" t="s">
        <v>1407</v>
      </c>
      <c r="M7" s="348" t="e">
        <f ca="1">F7</f>
        <v>#N/A</v>
      </c>
    </row>
    <row r="8" spans="1:37" ht="18" customHeight="1">
      <c r="A8" s="349"/>
      <c r="B8" s="3893"/>
      <c r="C8" s="351"/>
      <c r="D8" s="352"/>
      <c r="E8" s="347" t="s">
        <v>1408</v>
      </c>
      <c r="F8" s="348" t="e">
        <f ca="1">INDIRECT("'数据-取费表'!ai"&amp;$G$1)</f>
        <v>#N/A</v>
      </c>
      <c r="G8" s="1851"/>
      <c r="H8" s="349"/>
      <c r="I8" s="3893"/>
      <c r="J8" s="351"/>
      <c r="K8" s="352"/>
      <c r="L8" s="347" t="s">
        <v>1408</v>
      </c>
      <c r="M8" s="348" t="e">
        <f ca="1">INDIRECT("'数据-取费表'!ai"&amp;$G$1)</f>
        <v>#N/A</v>
      </c>
    </row>
    <row r="9" spans="1:37" ht="18" customHeight="1">
      <c r="A9" s="349"/>
      <c r="B9" s="3894"/>
      <c r="C9" s="351"/>
      <c r="D9" s="352"/>
      <c r="E9" s="347" t="s">
        <v>1409</v>
      </c>
      <c r="F9" s="357" t="e">
        <f ca="1">INDIRECT("'数据-取费表'!w"&amp;$G$1)</f>
        <v>#N/A</v>
      </c>
      <c r="G9" s="1851"/>
      <c r="H9" s="349"/>
      <c r="I9" s="3894"/>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3035</v>
      </c>
      <c r="E10" s="358" t="s">
        <v>1412</v>
      </c>
      <c r="F10" s="1365" t="s">
        <v>3051</v>
      </c>
      <c r="G10" s="1851"/>
      <c r="H10" s="1290" t="s">
        <v>1039</v>
      </c>
      <c r="I10" s="1823" t="s">
        <v>1410</v>
      </c>
      <c r="J10" s="346" t="e">
        <f ca="1">ROUND(IF(M10="押一",M6*M8*M7/12*M11,IF(M10="押二",M6*M8*M7/12*2*M11,IF(M10="押三",M6*M8*M7/12*3*M11,J11*M11)))/10000,0)</f>
        <v>#N/A</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1800" t="s">
        <v>1420</v>
      </c>
      <c r="E14" s="1794"/>
      <c r="F14" s="364"/>
      <c r="G14" s="1851"/>
      <c r="H14" s="1200" t="s">
        <v>1035</v>
      </c>
      <c r="I14" s="347" t="s">
        <v>1421</v>
      </c>
      <c r="J14" s="24" t="e">
        <f ca="1">C29</f>
        <v>#N/A</v>
      </c>
      <c r="K14" s="15"/>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1337"/>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1818"/>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0.03</v>
      </c>
      <c r="G20" s="1854"/>
      <c r="H20" s="1200" t="s">
        <v>1390</v>
      </c>
      <c r="I20" s="164" t="s">
        <v>1443</v>
      </c>
      <c r="J20" s="25" t="e">
        <f ca="1">ROUND(M20*M21/10000,2)</f>
        <v>#N/A</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t="e">
        <f ca="1">ROUND(J14*M22,1)</f>
        <v>#N/A</v>
      </c>
      <c r="K22" s="1798"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t="e">
        <f ca="1">ROUND(J13*M23,1)</f>
        <v>#N/A</v>
      </c>
      <c r="K23" s="1798"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1337"/>
      <c r="F30" s="1293"/>
      <c r="G30" s="1851"/>
      <c r="H30" s="745"/>
      <c r="I30" s="746"/>
      <c r="J30" s="747"/>
      <c r="K30" s="748"/>
      <c r="L30" s="749"/>
      <c r="M30" s="750"/>
    </row>
    <row r="31" spans="1:37" ht="18" customHeight="1">
      <c r="A31" s="1200" t="s">
        <v>1035</v>
      </c>
      <c r="B31" s="347" t="s">
        <v>1431</v>
      </c>
      <c r="C31" s="24" t="e">
        <f ca="1">ROUND(IF(项目基本情况!B11="自然人",C5*F31,C32+C33+C34),1)</f>
        <v>#N/A</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1798"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1798" t="s">
        <v>1456</v>
      </c>
      <c r="E37" s="347" t="s">
        <v>1457</v>
      </c>
      <c r="F37" s="376" t="e">
        <f ca="1">INDIRECT("'数据-取费表'!Al"&amp;$G$1)</f>
        <v>#N/A</v>
      </c>
      <c r="G37" s="1851"/>
      <c r="H37" s="1859"/>
      <c r="I37" s="1860"/>
      <c r="J37" s="1861"/>
      <c r="K37" s="751"/>
      <c r="L37" s="1859"/>
      <c r="M37" s="1859"/>
    </row>
    <row r="38" spans="1:18" ht="18" customHeight="1" thickBot="1">
      <c r="A38" s="1338" t="s">
        <v>1394</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1485</v>
      </c>
      <c r="C39" s="355" t="e">
        <f ca="1">C5-C30</f>
        <v>#N/A</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1817" t="e">
        <f ca="1">C49+C53+C55</f>
        <v>#N/A</v>
      </c>
      <c r="D48" s="1361"/>
      <c r="E48" s="1362"/>
      <c r="F48" s="1180"/>
      <c r="G48" s="792"/>
      <c r="H48" s="793"/>
      <c r="I48" s="1887" t="s">
        <v>1532</v>
      </c>
      <c r="J48" s="1888" t="s">
        <v>3673</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3037</v>
      </c>
      <c r="E49" s="1830" t="s">
        <v>1493</v>
      </c>
      <c r="F49" s="1280"/>
      <c r="G49" s="1891"/>
      <c r="H49" s="793"/>
      <c r="I49" s="1887" t="s">
        <v>1536</v>
      </c>
      <c r="J49" s="1892">
        <v>2018</v>
      </c>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e">
        <f ca="1">IF(M47="住宅",J51,IF(D1="——",MIN(J51,L48),IF(D1="在建（套用方法）",MIN(J51,L48-'数据-取费表'!B24),IF(D1="土地（套用方法）",MIN(J51,L48-'数据-取费表'!B20)))))</f>
        <v>#N/A</v>
      </c>
      <c r="K53" s="3895" t="s">
        <v>1550</v>
      </c>
      <c r="L53" s="3896"/>
      <c r="O53" s="1884" t="s">
        <v>1046</v>
      </c>
      <c r="P53" s="1885" t="s">
        <v>1551</v>
      </c>
      <c r="Q53" s="1886" t="e">
        <f ca="1">Q47+Q48</f>
        <v>#N/A</v>
      </c>
      <c r="R53" s="1886" t="s">
        <v>1047</v>
      </c>
    </row>
    <row r="54" spans="1:18" s="1842" customFormat="1" ht="13.5" thickBot="1">
      <c r="A54" s="1405"/>
      <c r="B54" s="1825" t="s">
        <v>1389</v>
      </c>
      <c r="C54" s="1177"/>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3042</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1495</v>
      </c>
      <c r="C61" s="24" t="e">
        <f ca="1">IF(项目基本情况!B11="自然人","——",IF(D61="按租金收入计税",ROUND(C48*F61,2),IF(D61="按房产原值计税",ROUND(C57*F61*0.7,2),INDIRECT("'数据-取费表'!Aj"&amp;$G$1))))</f>
        <v>#N/A</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4"/>
      <c r="C63" s="29"/>
      <c r="D63" s="1184"/>
      <c r="E63" s="1168"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t="e">
        <f ca="1">ROUND(C57*F64,1)</f>
        <v>#N/A</v>
      </c>
      <c r="D64" s="1182" t="s">
        <v>1504</v>
      </c>
      <c r="E64" s="1168" t="s">
        <v>1496</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0" t="s">
        <v>1506</v>
      </c>
      <c r="B66" s="1168" t="s">
        <v>1441</v>
      </c>
      <c r="C66" s="24" t="e">
        <f ca="1">ROUND(C48*F66,1)</f>
        <v>#N/A</v>
      </c>
      <c r="D66" s="1182" t="s">
        <v>1507</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4" t="s">
        <v>2647</v>
      </c>
      <c r="D4" s="3865"/>
      <c r="E4" s="3866" t="s">
        <v>2648</v>
      </c>
      <c r="F4" s="3867"/>
      <c r="G4" s="3864" t="s">
        <v>2649</v>
      </c>
      <c r="H4" s="3865"/>
      <c r="I4" s="3864" t="s">
        <v>2650</v>
      </c>
      <c r="J4" s="3865"/>
      <c r="K4" s="610" t="s">
        <v>2651</v>
      </c>
      <c r="L4" s="1129"/>
      <c r="M4" s="1130"/>
      <c r="N4" s="1130"/>
      <c r="O4" s="1130"/>
      <c r="P4" s="3868" t="s">
        <v>2652</v>
      </c>
      <c r="Q4" s="3869"/>
      <c r="R4" s="3874" t="s">
        <v>2648</v>
      </c>
      <c r="S4" s="3875"/>
      <c r="T4" s="3874" t="s">
        <v>2649</v>
      </c>
      <c r="U4" s="3875"/>
      <c r="V4" s="3880" t="s">
        <v>2650</v>
      </c>
      <c r="W4" s="3880"/>
      <c r="X4" s="1813"/>
      <c r="Y4" s="3874" t="s">
        <v>2652</v>
      </c>
      <c r="Z4" s="3875"/>
      <c r="AA4" s="3861" t="s">
        <v>2648</v>
      </c>
      <c r="AB4" s="3862" t="s">
        <v>2649</v>
      </c>
      <c r="AC4" s="3861" t="s">
        <v>2650</v>
      </c>
    </row>
    <row r="5" spans="1:29" ht="15">
      <c r="A5" s="404"/>
      <c r="B5" s="405"/>
      <c r="C5" s="3883" t="s">
        <v>2543</v>
      </c>
      <c r="D5" s="3884"/>
      <c r="E5" s="3890" t="s">
        <v>2544</v>
      </c>
      <c r="F5" s="3891"/>
      <c r="G5" s="3883" t="s">
        <v>2545</v>
      </c>
      <c r="H5" s="3884"/>
      <c r="I5" s="3883" t="s">
        <v>2546</v>
      </c>
      <c r="J5" s="3884"/>
      <c r="K5" s="610"/>
      <c r="L5" s="1129"/>
      <c r="M5" s="1130"/>
      <c r="N5" s="1130"/>
      <c r="O5" s="1130"/>
      <c r="P5" s="3870"/>
      <c r="Q5" s="3871"/>
      <c r="R5" s="3876"/>
      <c r="S5" s="3877"/>
      <c r="T5" s="3876"/>
      <c r="U5" s="3877"/>
      <c r="V5" s="3880"/>
      <c r="W5" s="3880"/>
      <c r="X5" s="1813"/>
      <c r="Y5" s="3876"/>
      <c r="Z5" s="3877"/>
      <c r="AA5" s="3862"/>
      <c r="AB5" s="3862"/>
      <c r="AC5" s="3862"/>
    </row>
    <row r="6" spans="1:29" ht="15.75" thickBot="1">
      <c r="A6" s="406"/>
      <c r="B6" s="407"/>
      <c r="C6" s="3881" t="s">
        <v>2547</v>
      </c>
      <c r="D6" s="3882"/>
      <c r="E6" s="3888" t="s">
        <v>2547</v>
      </c>
      <c r="F6" s="3889"/>
      <c r="G6" s="3881" t="s">
        <v>2547</v>
      </c>
      <c r="H6" s="3882"/>
      <c r="I6" s="3881" t="s">
        <v>2547</v>
      </c>
      <c r="J6" s="3882"/>
      <c r="K6" s="610" t="s">
        <v>2548</v>
      </c>
      <c r="L6" s="1129"/>
      <c r="M6" s="1130"/>
      <c r="N6" s="1130"/>
      <c r="O6" s="1130"/>
      <c r="P6" s="3872"/>
      <c r="Q6" s="3873"/>
      <c r="R6" s="3876"/>
      <c r="S6" s="3877"/>
      <c r="T6" s="3878"/>
      <c r="U6" s="3879"/>
      <c r="V6" s="3880"/>
      <c r="W6" s="3880"/>
      <c r="X6" s="1813"/>
      <c r="Y6" s="3878"/>
      <c r="Z6" s="3879"/>
      <c r="AA6" s="3863"/>
      <c r="AB6" s="3863"/>
      <c r="AC6" s="3863"/>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85" t="s">
        <v>2550</v>
      </c>
      <c r="Q7" s="3887"/>
      <c r="R7" s="770" t="s">
        <v>17</v>
      </c>
      <c r="S7" s="771">
        <f t="shared" ref="S7:S14" si="0">F7</f>
        <v>0</v>
      </c>
      <c r="T7" s="770" t="s">
        <v>17</v>
      </c>
      <c r="U7" s="771">
        <f t="shared" ref="U7:U14" si="1">H7</f>
        <v>0</v>
      </c>
      <c r="V7" s="770" t="s">
        <v>17</v>
      </c>
      <c r="W7" s="771">
        <f t="shared" ref="W7:W14" si="2">J7</f>
        <v>0</v>
      </c>
      <c r="X7" s="772"/>
      <c r="Y7" s="3885" t="s">
        <v>2550</v>
      </c>
      <c r="Z7" s="388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85" t="s">
        <v>2553</v>
      </c>
      <c r="Q8" s="3886"/>
      <c r="R8" s="770" t="s">
        <v>17</v>
      </c>
      <c r="S8" s="771">
        <f t="shared" si="0"/>
        <v>0</v>
      </c>
      <c r="T8" s="770" t="s">
        <v>17</v>
      </c>
      <c r="U8" s="771">
        <f t="shared" si="1"/>
        <v>0</v>
      </c>
      <c r="V8" s="770" t="s">
        <v>17</v>
      </c>
      <c r="W8" s="771">
        <f t="shared" si="2"/>
        <v>0</v>
      </c>
      <c r="X8" s="772"/>
      <c r="Y8" s="3885" t="s">
        <v>2553</v>
      </c>
      <c r="Z8" s="388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49" t="s">
        <v>2556</v>
      </c>
      <c r="Q9" s="1795" t="str">
        <f t="shared" ref="Q9:Q14" si="6">B9</f>
        <v>用途</v>
      </c>
      <c r="R9" s="770" t="s">
        <v>17</v>
      </c>
      <c r="S9" s="771">
        <f t="shared" si="0"/>
        <v>100</v>
      </c>
      <c r="T9" s="770" t="s">
        <v>17</v>
      </c>
      <c r="U9" s="771">
        <f t="shared" si="1"/>
        <v>100</v>
      </c>
      <c r="V9" s="770" t="s">
        <v>17</v>
      </c>
      <c r="W9" s="771">
        <f t="shared" si="2"/>
        <v>100</v>
      </c>
      <c r="X9" s="772"/>
      <c r="Y9" s="370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49"/>
      <c r="Q10" s="1795" t="str">
        <f t="shared" si="6"/>
        <v>土地使用年限（年）</v>
      </c>
      <c r="R10" s="770" t="s">
        <v>17</v>
      </c>
      <c r="S10" s="771">
        <f t="shared" si="0"/>
        <v>100</v>
      </c>
      <c r="T10" s="770" t="s">
        <v>17</v>
      </c>
      <c r="U10" s="771">
        <f t="shared" si="1"/>
        <v>100</v>
      </c>
      <c r="V10" s="770" t="s">
        <v>17</v>
      </c>
      <c r="W10" s="771">
        <f t="shared" si="2"/>
        <v>100</v>
      </c>
      <c r="X10" s="772"/>
      <c r="Y10" s="370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49"/>
      <c r="Q11" s="1795">
        <f t="shared" si="6"/>
        <v>111</v>
      </c>
      <c r="R11" s="770" t="s">
        <v>17</v>
      </c>
      <c r="S11" s="771">
        <f t="shared" si="0"/>
        <v>100</v>
      </c>
      <c r="T11" s="770" t="s">
        <v>17</v>
      </c>
      <c r="U11" s="771">
        <f t="shared" si="1"/>
        <v>100</v>
      </c>
      <c r="V11" s="770" t="s">
        <v>17</v>
      </c>
      <c r="W11" s="771">
        <f t="shared" si="2"/>
        <v>100</v>
      </c>
      <c r="X11" s="772"/>
      <c r="Y11" s="370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49"/>
      <c r="Q12" s="1795">
        <f t="shared" si="6"/>
        <v>111</v>
      </c>
      <c r="R12" s="770" t="s">
        <v>17</v>
      </c>
      <c r="S12" s="771">
        <f t="shared" si="0"/>
        <v>100</v>
      </c>
      <c r="T12" s="770" t="s">
        <v>17</v>
      </c>
      <c r="U12" s="771">
        <f t="shared" si="1"/>
        <v>100</v>
      </c>
      <c r="V12" s="770" t="s">
        <v>17</v>
      </c>
      <c r="W12" s="771">
        <f t="shared" si="2"/>
        <v>100</v>
      </c>
      <c r="X12" s="772"/>
      <c r="Y12" s="370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49"/>
      <c r="Q13" s="1795">
        <f t="shared" si="6"/>
        <v>111</v>
      </c>
      <c r="R13" s="770" t="s">
        <v>17</v>
      </c>
      <c r="S13" s="771">
        <f t="shared" si="0"/>
        <v>100</v>
      </c>
      <c r="T13" s="770" t="s">
        <v>17</v>
      </c>
      <c r="U13" s="771">
        <f t="shared" si="1"/>
        <v>100</v>
      </c>
      <c r="V13" s="770" t="s">
        <v>17</v>
      </c>
      <c r="W13" s="771">
        <f t="shared" si="2"/>
        <v>100</v>
      </c>
      <c r="X13" s="772"/>
      <c r="Y13" s="3704"/>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51" t="s">
        <v>2561</v>
      </c>
      <c r="Q14" s="1810" t="str">
        <f t="shared" si="6"/>
        <v>交通便捷度</v>
      </c>
      <c r="R14" s="774" t="s">
        <v>17</v>
      </c>
      <c r="S14" s="775">
        <f t="shared" si="0"/>
        <v>100</v>
      </c>
      <c r="T14" s="774" t="s">
        <v>17</v>
      </c>
      <c r="U14" s="775">
        <f t="shared" si="1"/>
        <v>100</v>
      </c>
      <c r="V14" s="774" t="s">
        <v>17</v>
      </c>
      <c r="W14" s="775">
        <f t="shared" si="2"/>
        <v>100</v>
      </c>
      <c r="X14" s="1813"/>
      <c r="Y14" s="3851"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52"/>
      <c r="Q15" s="1810"/>
      <c r="R15" s="774"/>
      <c r="S15" s="775"/>
      <c r="T15" s="774"/>
      <c r="U15" s="775"/>
      <c r="V15" s="774"/>
      <c r="W15" s="775"/>
      <c r="X15" s="1813"/>
      <c r="Y15" s="3852"/>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52"/>
      <c r="Q16" s="1810" t="str">
        <f>B16</f>
        <v>公共配套设施</v>
      </c>
      <c r="R16" s="774" t="s">
        <v>17</v>
      </c>
      <c r="S16" s="775">
        <f>F16</f>
        <v>100</v>
      </c>
      <c r="T16" s="774" t="s">
        <v>17</v>
      </c>
      <c r="U16" s="775">
        <f>H16</f>
        <v>100</v>
      </c>
      <c r="V16" s="774" t="s">
        <v>17</v>
      </c>
      <c r="W16" s="775">
        <f>J16</f>
        <v>100</v>
      </c>
      <c r="X16" s="1813"/>
      <c r="Y16" s="385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52"/>
      <c r="Q17" s="1810"/>
      <c r="R17" s="774"/>
      <c r="S17" s="775"/>
      <c r="T17" s="774"/>
      <c r="U17" s="775"/>
      <c r="V17" s="774"/>
      <c r="W17" s="775"/>
      <c r="X17" s="1813"/>
      <c r="Y17" s="3852"/>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52"/>
      <c r="Q18" s="1810" t="str">
        <f>B18</f>
        <v>基础设施水平</v>
      </c>
      <c r="R18" s="774" t="s">
        <v>17</v>
      </c>
      <c r="S18" s="775">
        <f>F18</f>
        <v>100</v>
      </c>
      <c r="T18" s="774" t="s">
        <v>17</v>
      </c>
      <c r="U18" s="775">
        <f>H18</f>
        <v>100</v>
      </c>
      <c r="V18" s="774" t="s">
        <v>17</v>
      </c>
      <c r="W18" s="775">
        <f>J18</f>
        <v>100</v>
      </c>
      <c r="X18" s="1813"/>
      <c r="Y18" s="3852"/>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52"/>
      <c r="Q19" s="1810"/>
      <c r="R19" s="774"/>
      <c r="S19" s="775"/>
      <c r="T19" s="774"/>
      <c r="U19" s="775"/>
      <c r="V19" s="774"/>
      <c r="W19" s="775"/>
      <c r="X19" s="1813"/>
      <c r="Y19" s="3852"/>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52"/>
      <c r="Q20" s="1810" t="str">
        <f>B20</f>
        <v>自然及人文环境</v>
      </c>
      <c r="R20" s="774" t="s">
        <v>17</v>
      </c>
      <c r="S20" s="775">
        <f>F20</f>
        <v>100</v>
      </c>
      <c r="T20" s="774" t="s">
        <v>17</v>
      </c>
      <c r="U20" s="775">
        <f>H20</f>
        <v>100</v>
      </c>
      <c r="V20" s="774" t="s">
        <v>17</v>
      </c>
      <c r="W20" s="775">
        <f>J20</f>
        <v>100</v>
      </c>
      <c r="X20" s="1813"/>
      <c r="Y20" s="385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52"/>
      <c r="Q21" s="1810"/>
      <c r="R21" s="774"/>
      <c r="S21" s="775"/>
      <c r="T21" s="774"/>
      <c r="U21" s="775"/>
      <c r="V21" s="774"/>
      <c r="W21" s="775"/>
      <c r="X21" s="1813"/>
      <c r="Y21" s="3852"/>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52"/>
      <c r="Q22" s="1810" t="str">
        <f>B22</f>
        <v>楼层</v>
      </c>
      <c r="R22" s="774" t="s">
        <v>17</v>
      </c>
      <c r="S22" s="775">
        <f>F22</f>
        <v>100</v>
      </c>
      <c r="T22" s="774" t="s">
        <v>17</v>
      </c>
      <c r="U22" s="775">
        <f>H22</f>
        <v>100</v>
      </c>
      <c r="V22" s="774" t="s">
        <v>17</v>
      </c>
      <c r="W22" s="775">
        <f>J22</f>
        <v>100</v>
      </c>
      <c r="X22" s="1813"/>
      <c r="Y22" s="385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52"/>
      <c r="Q23" s="1810">
        <f>B23</f>
        <v>111</v>
      </c>
      <c r="R23" s="774" t="s">
        <v>17</v>
      </c>
      <c r="S23" s="775">
        <f>F23</f>
        <v>100</v>
      </c>
      <c r="T23" s="774" t="s">
        <v>17</v>
      </c>
      <c r="U23" s="775">
        <f>H23</f>
        <v>100</v>
      </c>
      <c r="V23" s="774" t="s">
        <v>17</v>
      </c>
      <c r="W23" s="775">
        <f>J23</f>
        <v>100</v>
      </c>
      <c r="X23" s="1813"/>
      <c r="Y23" s="385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52"/>
      <c r="Q24" s="1810">
        <f t="shared" ref="Q24:Q34" si="11">B24</f>
        <v>111</v>
      </c>
      <c r="R24" s="774" t="s">
        <v>17</v>
      </c>
      <c r="S24" s="775">
        <f>F24</f>
        <v>100</v>
      </c>
      <c r="T24" s="774" t="s">
        <v>17</v>
      </c>
      <c r="U24" s="775">
        <f>H24</f>
        <v>100</v>
      </c>
      <c r="V24" s="774" t="s">
        <v>17</v>
      </c>
      <c r="W24" s="775">
        <f>J24</f>
        <v>100</v>
      </c>
      <c r="X24" s="1813"/>
      <c r="Y24" s="3852"/>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52"/>
      <c r="Q25" s="1795">
        <f t="shared" si="11"/>
        <v>111</v>
      </c>
      <c r="R25" s="770" t="s">
        <v>17</v>
      </c>
      <c r="S25" s="771">
        <f>F25</f>
        <v>100</v>
      </c>
      <c r="T25" s="770" t="s">
        <v>17</v>
      </c>
      <c r="U25" s="771">
        <f>H25</f>
        <v>100</v>
      </c>
      <c r="V25" s="770" t="s">
        <v>17</v>
      </c>
      <c r="W25" s="771">
        <f>J25</f>
        <v>100</v>
      </c>
      <c r="X25" s="772"/>
      <c r="Y25" s="3852"/>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8"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56"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56"/>
      <c r="Q27" s="776" t="str">
        <f t="shared" si="11"/>
        <v>成新率</v>
      </c>
      <c r="R27" s="777" t="s">
        <v>17</v>
      </c>
      <c r="S27" s="778" t="e">
        <f t="shared" si="12"/>
        <v>#N/A</v>
      </c>
      <c r="T27" s="777" t="s">
        <v>17</v>
      </c>
      <c r="U27" s="778" t="e">
        <f t="shared" si="13"/>
        <v>#N/A</v>
      </c>
      <c r="V27" s="777" t="s">
        <v>17</v>
      </c>
      <c r="W27" s="778" t="e">
        <f t="shared" si="14"/>
        <v>#N/A</v>
      </c>
      <c r="X27" s="779"/>
      <c r="Y27" s="3856"/>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56"/>
      <c r="Q28" s="1810" t="str">
        <f t="shared" si="11"/>
        <v>物业等级</v>
      </c>
      <c r="R28" s="774" t="s">
        <v>17</v>
      </c>
      <c r="S28" s="775">
        <f t="shared" si="12"/>
        <v>100</v>
      </c>
      <c r="T28" s="774" t="s">
        <v>17</v>
      </c>
      <c r="U28" s="775">
        <f t="shared" si="13"/>
        <v>100</v>
      </c>
      <c r="V28" s="774" t="s">
        <v>17</v>
      </c>
      <c r="W28" s="775">
        <f t="shared" si="14"/>
        <v>100</v>
      </c>
      <c r="X28" s="1813"/>
      <c r="Y28" s="3856"/>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56"/>
      <c r="Q29" s="1810" t="str">
        <f t="shared" si="11"/>
        <v>有无电梯</v>
      </c>
      <c r="R29" s="774" t="s">
        <v>17</v>
      </c>
      <c r="S29" s="775">
        <f t="shared" si="12"/>
        <v>100</v>
      </c>
      <c r="T29" s="774" t="s">
        <v>17</v>
      </c>
      <c r="U29" s="775">
        <f t="shared" si="13"/>
        <v>100</v>
      </c>
      <c r="V29" s="774" t="s">
        <v>17</v>
      </c>
      <c r="W29" s="775">
        <f t="shared" si="14"/>
        <v>100</v>
      </c>
      <c r="X29" s="1813"/>
      <c r="Y29" s="3856"/>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56"/>
      <c r="Q30" s="1810" t="str">
        <f t="shared" si="11"/>
        <v>建筑面积</v>
      </c>
      <c r="R30" s="774" t="s">
        <v>17</v>
      </c>
      <c r="S30" s="775" t="e">
        <f t="shared" si="12"/>
        <v>#N/A</v>
      </c>
      <c r="T30" s="774" t="s">
        <v>17</v>
      </c>
      <c r="U30" s="775" t="e">
        <f t="shared" si="13"/>
        <v>#N/A</v>
      </c>
      <c r="V30" s="774" t="s">
        <v>17</v>
      </c>
      <c r="W30" s="775" t="e">
        <f t="shared" si="14"/>
        <v>#N/A</v>
      </c>
      <c r="X30" s="1813"/>
      <c r="Y30" s="3856"/>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56"/>
      <c r="Q31" s="1795" t="str">
        <f t="shared" si="11"/>
        <v>是否封闭</v>
      </c>
      <c r="R31" s="770" t="s">
        <v>17</v>
      </c>
      <c r="S31" s="771">
        <f t="shared" si="12"/>
        <v>100</v>
      </c>
      <c r="T31" s="770" t="s">
        <v>17</v>
      </c>
      <c r="U31" s="771">
        <f t="shared" si="13"/>
        <v>100</v>
      </c>
      <c r="V31" s="770" t="s">
        <v>17</v>
      </c>
      <c r="W31" s="771">
        <f t="shared" si="14"/>
        <v>100</v>
      </c>
      <c r="X31" s="772"/>
      <c r="Y31" s="385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56" t="s">
        <v>2566</v>
      </c>
      <c r="Q32" s="1810">
        <f t="shared" si="11"/>
        <v>111</v>
      </c>
      <c r="R32" s="774" t="s">
        <v>17</v>
      </c>
      <c r="S32" s="775">
        <f t="shared" si="12"/>
        <v>100</v>
      </c>
      <c r="T32" s="774" t="s">
        <v>17</v>
      </c>
      <c r="U32" s="775">
        <f t="shared" si="13"/>
        <v>100</v>
      </c>
      <c r="V32" s="774" t="s">
        <v>17</v>
      </c>
      <c r="W32" s="775">
        <f t="shared" si="14"/>
        <v>100</v>
      </c>
      <c r="X32" s="1813"/>
      <c r="Y32" s="3856"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56"/>
      <c r="Q33" s="1810">
        <f t="shared" si="11"/>
        <v>111</v>
      </c>
      <c r="R33" s="774" t="s">
        <v>17</v>
      </c>
      <c r="S33" s="775">
        <f t="shared" si="12"/>
        <v>100</v>
      </c>
      <c r="T33" s="774" t="s">
        <v>17</v>
      </c>
      <c r="U33" s="775">
        <f t="shared" si="13"/>
        <v>100</v>
      </c>
      <c r="V33" s="774" t="s">
        <v>17</v>
      </c>
      <c r="W33" s="775">
        <f t="shared" si="14"/>
        <v>100</v>
      </c>
      <c r="X33" s="1813"/>
      <c r="Y33" s="3856"/>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56"/>
      <c r="Q34" s="1810">
        <f t="shared" si="11"/>
        <v>111</v>
      </c>
      <c r="R34" s="774" t="s">
        <v>17</v>
      </c>
      <c r="S34" s="775">
        <f t="shared" si="12"/>
        <v>100</v>
      </c>
      <c r="T34" s="774" t="s">
        <v>17</v>
      </c>
      <c r="U34" s="775">
        <f t="shared" si="13"/>
        <v>100</v>
      </c>
      <c r="V34" s="774" t="s">
        <v>17</v>
      </c>
      <c r="W34" s="775">
        <f t="shared" si="14"/>
        <v>100</v>
      </c>
      <c r="X34" s="1813"/>
      <c r="Y34" s="3856"/>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49" t="str">
        <f>A35</f>
        <v>成交单价（元/平方米）</v>
      </c>
      <c r="Q35" s="3849"/>
      <c r="R35" s="3850">
        <f>E35</f>
        <v>0</v>
      </c>
      <c r="S35" s="3850"/>
      <c r="T35" s="3850">
        <f>G35</f>
        <v>0</v>
      </c>
      <c r="U35" s="3850"/>
      <c r="V35" s="3850">
        <f>I35</f>
        <v>0</v>
      </c>
      <c r="W35" s="385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49" t="str">
        <f>A36</f>
        <v>比较价值（元/平方米）</v>
      </c>
      <c r="Q36" s="3849"/>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46" t="str">
        <f>A37</f>
        <v>估价对象XX用房的比较价值（楼面单价，元/平方米）</v>
      </c>
      <c r="Q37" s="3847"/>
      <c r="R37" s="3848" t="e">
        <f>IF(F1="售价",ROUND(AVERAGE(R36:V36),0),ROUND(AVERAGE(R36:V36),1))</f>
        <v>#DIV/0!</v>
      </c>
      <c r="S37" s="3848"/>
      <c r="T37" s="3848"/>
      <c r="U37" s="3848"/>
      <c r="V37" s="3848"/>
      <c r="W37" s="384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spans="1:5" ht="18">
      <c r="A3" s="3666" t="str">
        <f>IF(项目基本情况!B9="房地产市场价值","估价结果一览表（市场价值不需“结果表-1”）","估价结果一览表")</f>
        <v>估价结果一览表</v>
      </c>
      <c r="B3" s="3666"/>
      <c r="C3" s="3666"/>
      <c r="D3" s="3666"/>
      <c r="E3" s="3666"/>
    </row>
    <row r="4" spans="1:5" ht="19.5" thickBot="1">
      <c r="A4" s="1961"/>
      <c r="B4" s="3664" t="s">
        <v>1632</v>
      </c>
      <c r="C4" s="3664"/>
      <c r="D4" s="3664"/>
      <c r="E4" s="1961"/>
    </row>
    <row r="5" spans="1:5" ht="16.5" thickTop="1">
      <c r="A5" s="1959"/>
      <c r="B5" s="3662" t="s">
        <v>1624</v>
      </c>
      <c r="C5" s="1962" t="s">
        <v>1625</v>
      </c>
      <c r="D5" s="1039" t="e">
        <f ca="1">结果表!H101</f>
        <v>#REF!</v>
      </c>
      <c r="E5" s="1959"/>
    </row>
    <row r="6" spans="1:5" ht="15.75">
      <c r="A6" s="1959"/>
      <c r="B6" s="3662"/>
      <c r="C6" s="1962" t="s">
        <v>1626</v>
      </c>
      <c r="D6" s="1039" t="e">
        <f ca="1">NUMBERSTRING(INT(D5*10000),2)&amp;"元整"</f>
        <v>#REF!</v>
      </c>
      <c r="E6" s="1959"/>
    </row>
    <row r="7" spans="1:5" ht="15.75">
      <c r="A7" s="1959"/>
      <c r="B7" s="3667"/>
      <c r="C7" s="1963" t="s">
        <v>1627</v>
      </c>
      <c r="D7" s="1040" t="e">
        <f ca="1">结果表!H102</f>
        <v>#REF!</v>
      </c>
      <c r="E7" s="1959"/>
    </row>
    <row r="8" spans="1:5" ht="15.75">
      <c r="A8" s="1959"/>
      <c r="B8" s="3668" t="str">
        <f>结果表!E103</f>
        <v>2.估价师知悉的法定优先受偿款</v>
      </c>
      <c r="C8" s="1964" t="s">
        <v>1628</v>
      </c>
      <c r="D8" s="1040">
        <f>结果表!H103</f>
        <v>0</v>
      </c>
      <c r="E8" s="1959"/>
    </row>
    <row r="9" spans="1:5" ht="15.75">
      <c r="A9" s="1959"/>
      <c r="B9" s="3670"/>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61" t="str">
        <f>结果表!E107</f>
        <v>3.房地产抵押价值</v>
      </c>
      <c r="C13" s="1967" t="s">
        <v>1625</v>
      </c>
      <c r="D13" s="1042" t="e">
        <f ca="1">结果表!H107</f>
        <v>#REF!</v>
      </c>
      <c r="E13" s="1959"/>
    </row>
    <row r="14" spans="1:5" ht="15.75">
      <c r="A14" s="1959"/>
      <c r="B14" s="3662"/>
      <c r="C14" s="1962" t="s">
        <v>1626</v>
      </c>
      <c r="D14" s="1039" t="e">
        <f ca="1">NUMBERSTRING(INT(D13*10000),2)&amp;"元整"</f>
        <v>#REF!</v>
      </c>
      <c r="E14" s="1959"/>
    </row>
    <row r="15" spans="1:5" ht="15">
      <c r="A15" s="1959"/>
      <c r="B15" s="3667"/>
      <c r="C15" s="1963" t="s">
        <v>1636</v>
      </c>
      <c r="D15" s="1051" t="e">
        <f ca="1">结果表!H108</f>
        <v>#REF!</v>
      </c>
      <c r="E15" s="1959"/>
    </row>
    <row r="16" spans="1:5" ht="15">
      <c r="A16" s="1959"/>
      <c r="B16" s="3668" t="str">
        <f>结果表!E109</f>
        <v>——</v>
      </c>
      <c r="C16" s="1967" t="s">
        <v>1637</v>
      </c>
      <c r="D16" s="1968" t="str">
        <f>结果表!H109</f>
        <v>——</v>
      </c>
      <c r="E16" s="1959"/>
    </row>
    <row r="17" spans="1:5" ht="15.75">
      <c r="A17" s="1959"/>
      <c r="B17" s="3669"/>
      <c r="C17" s="1962" t="s">
        <v>1638</v>
      </c>
      <c r="D17" s="1039" t="e">
        <f>NUMBERSTRING(INT(D16*10000),2)&amp;"元整"</f>
        <v>#VALUE!</v>
      </c>
      <c r="E17" s="1959"/>
    </row>
    <row r="18" spans="1:5" ht="15">
      <c r="A18" s="1959"/>
      <c r="B18" s="3670"/>
      <c r="C18" s="1963" t="s">
        <v>1627</v>
      </c>
      <c r="D18" s="1051" t="str">
        <f>结果表!H110</f>
        <v>——</v>
      </c>
      <c r="E18" s="1959"/>
    </row>
    <row r="19" spans="1:5" ht="15.75">
      <c r="A19" s="1959"/>
      <c r="B19" s="3661" t="str">
        <f>结果表!E111</f>
        <v>——</v>
      </c>
      <c r="C19" s="1967" t="s">
        <v>1625</v>
      </c>
      <c r="D19" s="1040" t="str">
        <f>结果表!H111</f>
        <v>——</v>
      </c>
      <c r="E19" s="1959"/>
    </row>
    <row r="20" spans="1:5" ht="15.75">
      <c r="A20" s="1959"/>
      <c r="B20" s="3662"/>
      <c r="C20" s="1962" t="s">
        <v>1638</v>
      </c>
      <c r="D20" s="1039" t="e">
        <f>NUMBERSTRING(INT(D19*10000),2)&amp;"元整"</f>
        <v>#VALUE!</v>
      </c>
      <c r="E20" s="1959"/>
    </row>
    <row r="21" spans="1:5" ht="15.75" thickBot="1">
      <c r="A21" s="1959"/>
      <c r="B21" s="3663"/>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64" t="s">
        <v>2647</v>
      </c>
      <c r="D4" s="3865"/>
      <c r="E4" s="3866" t="s">
        <v>2648</v>
      </c>
      <c r="F4" s="3867"/>
      <c r="G4" s="3864" t="s">
        <v>2649</v>
      </c>
      <c r="H4" s="3865"/>
      <c r="I4" s="3864" t="s">
        <v>2650</v>
      </c>
      <c r="J4" s="3865"/>
      <c r="K4" s="610" t="s">
        <v>2651</v>
      </c>
      <c r="L4" s="1129"/>
      <c r="M4" s="1130"/>
      <c r="N4" s="1130"/>
      <c r="O4" s="1130"/>
      <c r="P4" s="3868" t="s">
        <v>2652</v>
      </c>
      <c r="Q4" s="3869"/>
      <c r="R4" s="3874" t="s">
        <v>2648</v>
      </c>
      <c r="S4" s="3875"/>
      <c r="T4" s="3874" t="s">
        <v>2649</v>
      </c>
      <c r="U4" s="3875"/>
      <c r="V4" s="3880" t="s">
        <v>2650</v>
      </c>
      <c r="W4" s="3880"/>
      <c r="X4" s="1813"/>
      <c r="Y4" s="3874" t="s">
        <v>2652</v>
      </c>
      <c r="Z4" s="3875"/>
      <c r="AA4" s="3861" t="s">
        <v>2648</v>
      </c>
      <c r="AB4" s="3862" t="s">
        <v>2649</v>
      </c>
      <c r="AC4" s="3861" t="s">
        <v>2650</v>
      </c>
    </row>
    <row r="5" spans="1:30" ht="15">
      <c r="A5" s="404"/>
      <c r="B5" s="405"/>
      <c r="C5" s="3883" t="s">
        <v>2543</v>
      </c>
      <c r="D5" s="3884"/>
      <c r="E5" s="3890" t="s">
        <v>2544</v>
      </c>
      <c r="F5" s="3891"/>
      <c r="G5" s="3883" t="s">
        <v>2545</v>
      </c>
      <c r="H5" s="3884"/>
      <c r="I5" s="3883" t="s">
        <v>2546</v>
      </c>
      <c r="J5" s="3884"/>
      <c r="K5" s="610"/>
      <c r="L5" s="1129"/>
      <c r="M5" s="1130"/>
      <c r="N5" s="1130"/>
      <c r="O5" s="1130"/>
      <c r="P5" s="3870"/>
      <c r="Q5" s="3871"/>
      <c r="R5" s="3876"/>
      <c r="S5" s="3877"/>
      <c r="T5" s="3876"/>
      <c r="U5" s="3877"/>
      <c r="V5" s="3880"/>
      <c r="W5" s="3880"/>
      <c r="X5" s="1813"/>
      <c r="Y5" s="3876"/>
      <c r="Z5" s="3877"/>
      <c r="AA5" s="3862"/>
      <c r="AB5" s="3862"/>
      <c r="AC5" s="3862"/>
    </row>
    <row r="6" spans="1:30" ht="15.75" thickBot="1">
      <c r="A6" s="406"/>
      <c r="B6" s="407"/>
      <c r="C6" s="3881" t="s">
        <v>2547</v>
      </c>
      <c r="D6" s="3882"/>
      <c r="E6" s="3888" t="s">
        <v>2547</v>
      </c>
      <c r="F6" s="3889"/>
      <c r="G6" s="3881" t="s">
        <v>2547</v>
      </c>
      <c r="H6" s="3882"/>
      <c r="I6" s="3881" t="s">
        <v>2547</v>
      </c>
      <c r="J6" s="3882"/>
      <c r="K6" s="610" t="s">
        <v>2548</v>
      </c>
      <c r="L6" s="1129"/>
      <c r="M6" s="1130"/>
      <c r="N6" s="1130"/>
      <c r="O6" s="1130"/>
      <c r="P6" s="3872"/>
      <c r="Q6" s="3873"/>
      <c r="R6" s="3876"/>
      <c r="S6" s="3877"/>
      <c r="T6" s="3878"/>
      <c r="U6" s="3879"/>
      <c r="V6" s="3880"/>
      <c r="W6" s="3880"/>
      <c r="X6" s="1813"/>
      <c r="Y6" s="3878"/>
      <c r="Z6" s="3879"/>
      <c r="AA6" s="3863"/>
      <c r="AB6" s="3863"/>
      <c r="AC6" s="3863"/>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85" t="s">
        <v>2550</v>
      </c>
      <c r="Q7" s="3887"/>
      <c r="R7" s="770" t="s">
        <v>17</v>
      </c>
      <c r="S7" s="771">
        <f t="shared" ref="S7:S15" si="0">F7</f>
        <v>0</v>
      </c>
      <c r="T7" s="770" t="s">
        <v>17</v>
      </c>
      <c r="U7" s="771">
        <f t="shared" ref="U7:U15" si="1">H7</f>
        <v>0</v>
      </c>
      <c r="V7" s="770" t="s">
        <v>17</v>
      </c>
      <c r="W7" s="771">
        <f t="shared" ref="W7:W15" si="2">J7</f>
        <v>0</v>
      </c>
      <c r="X7" s="772"/>
      <c r="Y7" s="3885" t="s">
        <v>2550</v>
      </c>
      <c r="Z7" s="388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85" t="s">
        <v>2553</v>
      </c>
      <c r="Q8" s="3886"/>
      <c r="R8" s="770" t="s">
        <v>17</v>
      </c>
      <c r="S8" s="771">
        <f t="shared" si="0"/>
        <v>0</v>
      </c>
      <c r="T8" s="770" t="s">
        <v>17</v>
      </c>
      <c r="U8" s="771">
        <f t="shared" si="1"/>
        <v>0</v>
      </c>
      <c r="V8" s="770" t="s">
        <v>17</v>
      </c>
      <c r="W8" s="771">
        <f t="shared" si="2"/>
        <v>0</v>
      </c>
      <c r="X8" s="772"/>
      <c r="Y8" s="3885" t="s">
        <v>2553</v>
      </c>
      <c r="Z8" s="3886"/>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49" t="s">
        <v>2556</v>
      </c>
      <c r="Q9" s="1795" t="str">
        <f t="shared" ref="Q9:Q15" si="6">B9</f>
        <v>用途</v>
      </c>
      <c r="R9" s="770" t="s">
        <v>17</v>
      </c>
      <c r="S9" s="771">
        <f t="shared" si="0"/>
        <v>100</v>
      </c>
      <c r="T9" s="770" t="s">
        <v>17</v>
      </c>
      <c r="U9" s="771">
        <f t="shared" si="1"/>
        <v>100</v>
      </c>
      <c r="V9" s="770" t="s">
        <v>17</v>
      </c>
      <c r="W9" s="771">
        <f t="shared" si="2"/>
        <v>100</v>
      </c>
      <c r="X9" s="772"/>
      <c r="Y9" s="370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4"/>
      <c r="M10" s="1135"/>
      <c r="N10" s="1135"/>
      <c r="O10" s="1136"/>
      <c r="P10" s="3849"/>
      <c r="Q10" s="1795" t="str">
        <f t="shared" si="6"/>
        <v>土地使用年限（年）</v>
      </c>
      <c r="R10" s="770" t="s">
        <v>17</v>
      </c>
      <c r="S10" s="771" t="e">
        <f t="shared" si="0"/>
        <v>#DIV/0!</v>
      </c>
      <c r="T10" s="770" t="s">
        <v>17</v>
      </c>
      <c r="U10" s="771" t="e">
        <f t="shared" si="1"/>
        <v>#DIV/0!</v>
      </c>
      <c r="V10" s="770" t="s">
        <v>17</v>
      </c>
      <c r="W10" s="771" t="e">
        <f t="shared" si="2"/>
        <v>#DIV/0!</v>
      </c>
      <c r="X10" s="772"/>
      <c r="Y10" s="3704"/>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49"/>
      <c r="Q11" s="1795" t="str">
        <f t="shared" si="6"/>
        <v>容积率</v>
      </c>
      <c r="R11" s="770" t="s">
        <v>17</v>
      </c>
      <c r="S11" s="771" t="e">
        <f t="shared" si="0"/>
        <v>#N/A</v>
      </c>
      <c r="T11" s="770" t="s">
        <v>17</v>
      </c>
      <c r="U11" s="771" t="e">
        <f t="shared" si="1"/>
        <v>#N/A</v>
      </c>
      <c r="V11" s="770" t="s">
        <v>17</v>
      </c>
      <c r="W11" s="771" t="e">
        <f t="shared" si="2"/>
        <v>#N/A</v>
      </c>
      <c r="X11" s="772"/>
      <c r="Y11" s="3704"/>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49"/>
      <c r="Q12" s="1795" t="str">
        <f t="shared" si="6"/>
        <v>配建</v>
      </c>
      <c r="R12" s="770" t="s">
        <v>17</v>
      </c>
      <c r="S12" s="771">
        <f t="shared" si="0"/>
        <v>100</v>
      </c>
      <c r="T12" s="770" t="s">
        <v>17</v>
      </c>
      <c r="U12" s="771">
        <f t="shared" si="1"/>
        <v>100</v>
      </c>
      <c r="V12" s="770" t="s">
        <v>17</v>
      </c>
      <c r="W12" s="771">
        <f t="shared" si="2"/>
        <v>100</v>
      </c>
      <c r="X12" s="772"/>
      <c r="Y12" s="370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49"/>
      <c r="Q13" s="1795">
        <f t="shared" si="6"/>
        <v>111</v>
      </c>
      <c r="R13" s="770" t="s">
        <v>17</v>
      </c>
      <c r="S13" s="771">
        <f t="shared" si="0"/>
        <v>100</v>
      </c>
      <c r="T13" s="770" t="s">
        <v>17</v>
      </c>
      <c r="U13" s="771">
        <f t="shared" si="1"/>
        <v>100</v>
      </c>
      <c r="V13" s="770" t="s">
        <v>17</v>
      </c>
      <c r="W13" s="771">
        <f t="shared" si="2"/>
        <v>100</v>
      </c>
      <c r="X13" s="772"/>
      <c r="Y13" s="370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49"/>
      <c r="Q14" s="1795">
        <f t="shared" si="6"/>
        <v>111</v>
      </c>
      <c r="R14" s="770" t="s">
        <v>17</v>
      </c>
      <c r="S14" s="771">
        <f t="shared" si="0"/>
        <v>100</v>
      </c>
      <c r="T14" s="770" t="s">
        <v>17</v>
      </c>
      <c r="U14" s="771">
        <f t="shared" si="1"/>
        <v>100</v>
      </c>
      <c r="V14" s="770" t="s">
        <v>17</v>
      </c>
      <c r="W14" s="771">
        <f t="shared" si="2"/>
        <v>100</v>
      </c>
      <c r="X14" s="772"/>
      <c r="Y14" s="3704"/>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51" t="s">
        <v>2561</v>
      </c>
      <c r="Q15" s="1810" t="str">
        <f t="shared" si="6"/>
        <v>居住社区成熟度</v>
      </c>
      <c r="R15" s="774" t="s">
        <v>17</v>
      </c>
      <c r="S15" s="775">
        <f t="shared" si="0"/>
        <v>100</v>
      </c>
      <c r="T15" s="774" t="s">
        <v>17</v>
      </c>
      <c r="U15" s="775">
        <f t="shared" si="1"/>
        <v>100</v>
      </c>
      <c r="V15" s="774" t="s">
        <v>17</v>
      </c>
      <c r="W15" s="775">
        <f t="shared" si="2"/>
        <v>100</v>
      </c>
      <c r="X15" s="1813"/>
      <c r="Y15" s="3851"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52"/>
      <c r="Q16" s="1810"/>
      <c r="R16" s="774"/>
      <c r="S16" s="775"/>
      <c r="T16" s="774"/>
      <c r="U16" s="775"/>
      <c r="V16" s="774"/>
      <c r="W16" s="775"/>
      <c r="X16" s="1813"/>
      <c r="Y16" s="3852"/>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52"/>
      <c r="Q17" s="1810" t="str">
        <f>B17</f>
        <v>商业繁华度</v>
      </c>
      <c r="R17" s="774" t="s">
        <v>17</v>
      </c>
      <c r="S17" s="775">
        <f>F17</f>
        <v>100</v>
      </c>
      <c r="T17" s="774" t="s">
        <v>17</v>
      </c>
      <c r="U17" s="775">
        <f>H17</f>
        <v>100</v>
      </c>
      <c r="V17" s="774" t="s">
        <v>17</v>
      </c>
      <c r="W17" s="775">
        <f>J17</f>
        <v>100</v>
      </c>
      <c r="X17" s="1813"/>
      <c r="Y17" s="3852"/>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52"/>
      <c r="Q18" s="1810"/>
      <c r="R18" s="774"/>
      <c r="S18" s="775"/>
      <c r="T18" s="774"/>
      <c r="U18" s="775"/>
      <c r="V18" s="774"/>
      <c r="W18" s="775"/>
      <c r="X18" s="1813"/>
      <c r="Y18" s="3852"/>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52"/>
      <c r="Q19" s="1810" t="str">
        <f>B19</f>
        <v>办公集聚程度</v>
      </c>
      <c r="R19" s="774" t="s">
        <v>17</v>
      </c>
      <c r="S19" s="775">
        <f>F19</f>
        <v>100</v>
      </c>
      <c r="T19" s="774" t="s">
        <v>17</v>
      </c>
      <c r="U19" s="775">
        <f>H19</f>
        <v>100</v>
      </c>
      <c r="V19" s="774" t="s">
        <v>17</v>
      </c>
      <c r="W19" s="775">
        <f>J19</f>
        <v>100</v>
      </c>
      <c r="X19" s="1813"/>
      <c r="Y19" s="385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52"/>
      <c r="Q20" s="1810"/>
      <c r="R20" s="774"/>
      <c r="S20" s="775"/>
      <c r="T20" s="774"/>
      <c r="U20" s="775"/>
      <c r="V20" s="774"/>
      <c r="W20" s="775"/>
      <c r="X20" s="1813"/>
      <c r="Y20" s="3852"/>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52"/>
      <c r="Q21" s="1810" t="str">
        <f>B21</f>
        <v>交通便捷度</v>
      </c>
      <c r="R21" s="774" t="s">
        <v>17</v>
      </c>
      <c r="S21" s="775">
        <f>F21</f>
        <v>100</v>
      </c>
      <c r="T21" s="774" t="s">
        <v>17</v>
      </c>
      <c r="U21" s="775">
        <f>H21</f>
        <v>100</v>
      </c>
      <c r="V21" s="774" t="s">
        <v>17</v>
      </c>
      <c r="W21" s="775">
        <f>J21</f>
        <v>100</v>
      </c>
      <c r="X21" s="1813"/>
      <c r="Y21" s="3852"/>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52"/>
      <c r="Q22" s="1810"/>
      <c r="R22" s="774"/>
      <c r="S22" s="775"/>
      <c r="T22" s="774"/>
      <c r="U22" s="775"/>
      <c r="V22" s="774"/>
      <c r="W22" s="775"/>
      <c r="X22" s="1813"/>
      <c r="Y22" s="3852"/>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52"/>
      <c r="Q23" s="1810" t="str">
        <f t="shared" ref="Q23:Q37" si="8">B23</f>
        <v>区域土地利用方向</v>
      </c>
      <c r="R23" s="774" t="s">
        <v>17</v>
      </c>
      <c r="S23" s="775">
        <f>F23</f>
        <v>100</v>
      </c>
      <c r="T23" s="774" t="s">
        <v>17</v>
      </c>
      <c r="U23" s="775">
        <f>H23</f>
        <v>100</v>
      </c>
      <c r="V23" s="774" t="s">
        <v>17</v>
      </c>
      <c r="W23" s="775">
        <f>J23</f>
        <v>100</v>
      </c>
      <c r="X23" s="1813"/>
      <c r="Y23" s="385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52"/>
      <c r="Q24" s="1810"/>
      <c r="R24" s="774"/>
      <c r="S24" s="775"/>
      <c r="T24" s="774"/>
      <c r="U24" s="775"/>
      <c r="V24" s="774"/>
      <c r="W24" s="775"/>
      <c r="X24" s="1813"/>
      <c r="Y24" s="3852"/>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52"/>
      <c r="Q25" s="1810" t="str">
        <f t="shared" si="8"/>
        <v>自然及人文环境状况</v>
      </c>
      <c r="R25" s="774" t="s">
        <v>17</v>
      </c>
      <c r="S25" s="775">
        <f>F25</f>
        <v>100</v>
      </c>
      <c r="T25" s="774" t="s">
        <v>17</v>
      </c>
      <c r="U25" s="775">
        <f>H25</f>
        <v>100</v>
      </c>
      <c r="V25" s="774" t="s">
        <v>17</v>
      </c>
      <c r="W25" s="775">
        <f>J25</f>
        <v>100</v>
      </c>
      <c r="X25" s="1813"/>
      <c r="Y25" s="3852"/>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52"/>
      <c r="Q26" s="1810"/>
      <c r="R26" s="774"/>
      <c r="S26" s="775"/>
      <c r="T26" s="774"/>
      <c r="U26" s="775"/>
      <c r="V26" s="774"/>
      <c r="W26" s="775"/>
      <c r="X26" s="1813"/>
      <c r="Y26" s="3852"/>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52"/>
      <c r="Q27" s="1795" t="str">
        <f t="shared" si="8"/>
        <v>公共配套设施</v>
      </c>
      <c r="R27" s="770" t="s">
        <v>17</v>
      </c>
      <c r="S27" s="771">
        <f>F27</f>
        <v>100</v>
      </c>
      <c r="T27" s="770" t="s">
        <v>17</v>
      </c>
      <c r="U27" s="771">
        <f>H27</f>
        <v>100</v>
      </c>
      <c r="V27" s="770" t="s">
        <v>17</v>
      </c>
      <c r="W27" s="771">
        <f>J27</f>
        <v>100</v>
      </c>
      <c r="X27" s="772"/>
      <c r="Y27" s="3852"/>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52"/>
      <c r="Q28" s="1795"/>
      <c r="R28" s="770"/>
      <c r="S28" s="771"/>
      <c r="T28" s="770"/>
      <c r="U28" s="771"/>
      <c r="V28" s="770"/>
      <c r="W28" s="771"/>
      <c r="X28" s="772"/>
      <c r="Y28" s="3852"/>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52"/>
      <c r="Q29" s="1795" t="str">
        <f t="shared" ref="Q29" si="9">B29</f>
        <v>基础设施水平</v>
      </c>
      <c r="R29" s="770" t="s">
        <v>17</v>
      </c>
      <c r="S29" s="771">
        <f>F29</f>
        <v>100</v>
      </c>
      <c r="T29" s="770" t="s">
        <v>17</v>
      </c>
      <c r="U29" s="771">
        <f>H29</f>
        <v>100</v>
      </c>
      <c r="V29" s="770" t="s">
        <v>17</v>
      </c>
      <c r="W29" s="771">
        <f>J29</f>
        <v>100</v>
      </c>
      <c r="X29" s="772"/>
      <c r="Y29" s="3852"/>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52"/>
      <c r="Q30" s="1795"/>
      <c r="R30" s="770"/>
      <c r="S30" s="771"/>
      <c r="T30" s="770"/>
      <c r="U30" s="771"/>
      <c r="V30" s="770"/>
      <c r="W30" s="771"/>
      <c r="X30" s="772"/>
      <c r="Y30" s="3852"/>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5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52"/>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52"/>
      <c r="Q32" s="1810" t="str">
        <f t="shared" si="8"/>
        <v>毗邻道路的类型与等级</v>
      </c>
      <c r="R32" s="774" t="s">
        <v>17</v>
      </c>
      <c r="S32" s="775">
        <f t="shared" si="10"/>
        <v>100</v>
      </c>
      <c r="T32" s="774" t="s">
        <v>17</v>
      </c>
      <c r="U32" s="775">
        <f t="shared" si="11"/>
        <v>100</v>
      </c>
      <c r="V32" s="774" t="s">
        <v>17</v>
      </c>
      <c r="W32" s="775">
        <f t="shared" si="12"/>
        <v>100</v>
      </c>
      <c r="X32" s="1813"/>
      <c r="Y32" s="3852"/>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52"/>
      <c r="Q33" s="1810"/>
      <c r="R33" s="774"/>
      <c r="S33" s="775"/>
      <c r="T33" s="774"/>
      <c r="U33" s="775"/>
      <c r="V33" s="774"/>
      <c r="W33" s="775"/>
      <c r="X33" s="1813"/>
      <c r="Y33" s="3852"/>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52"/>
      <c r="Q34" s="1810" t="str">
        <f t="shared" si="8"/>
        <v>土地级别</v>
      </c>
      <c r="R34" s="774" t="s">
        <v>17</v>
      </c>
      <c r="S34" s="775">
        <f t="shared" si="10"/>
        <v>100</v>
      </c>
      <c r="T34" s="774" t="s">
        <v>17</v>
      </c>
      <c r="U34" s="775">
        <f t="shared" si="11"/>
        <v>100</v>
      </c>
      <c r="V34" s="774" t="s">
        <v>17</v>
      </c>
      <c r="W34" s="775">
        <f t="shared" si="12"/>
        <v>100</v>
      </c>
      <c r="X34" s="1813"/>
      <c r="Y34" s="3852"/>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52"/>
      <c r="Q35" s="1810">
        <f t="shared" si="8"/>
        <v>111</v>
      </c>
      <c r="R35" s="774" t="s">
        <v>17</v>
      </c>
      <c r="S35" s="775">
        <f t="shared" si="10"/>
        <v>100</v>
      </c>
      <c r="T35" s="774" t="s">
        <v>17</v>
      </c>
      <c r="U35" s="775">
        <f t="shared" si="11"/>
        <v>100</v>
      </c>
      <c r="V35" s="774" t="s">
        <v>17</v>
      </c>
      <c r="W35" s="775">
        <f t="shared" si="12"/>
        <v>100</v>
      </c>
      <c r="X35" s="1813"/>
      <c r="Y35" s="3852"/>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8" t="s">
        <v>2566</v>
      </c>
      <c r="Q36" s="1810">
        <f t="shared" si="8"/>
        <v>111</v>
      </c>
      <c r="R36" s="774" t="s">
        <v>17</v>
      </c>
      <c r="S36" s="775">
        <f t="shared" si="10"/>
        <v>100</v>
      </c>
      <c r="T36" s="774" t="s">
        <v>17</v>
      </c>
      <c r="U36" s="775">
        <f t="shared" si="11"/>
        <v>100</v>
      </c>
      <c r="V36" s="774" t="s">
        <v>17</v>
      </c>
      <c r="W36" s="775">
        <f t="shared" si="12"/>
        <v>100</v>
      </c>
      <c r="X36" s="1813"/>
      <c r="Y36" s="3856"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56"/>
      <c r="Q37" s="1810">
        <f t="shared" si="8"/>
        <v>111</v>
      </c>
      <c r="R37" s="777" t="s">
        <v>17</v>
      </c>
      <c r="S37" s="778">
        <f t="shared" si="10"/>
        <v>100</v>
      </c>
      <c r="T37" s="777" t="s">
        <v>17</v>
      </c>
      <c r="U37" s="778">
        <f t="shared" si="11"/>
        <v>100</v>
      </c>
      <c r="V37" s="777" t="s">
        <v>17</v>
      </c>
      <c r="W37" s="778">
        <f t="shared" si="12"/>
        <v>100</v>
      </c>
      <c r="X37" s="779"/>
      <c r="Y37" s="3856"/>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56"/>
      <c r="Q38" s="1810" t="str">
        <f>B38</f>
        <v>宗地面积</v>
      </c>
      <c r="R38" s="774" t="s">
        <v>17</v>
      </c>
      <c r="S38" s="775" t="e">
        <f t="shared" si="10"/>
        <v>#N/A</v>
      </c>
      <c r="T38" s="774" t="s">
        <v>17</v>
      </c>
      <c r="U38" s="775" t="e">
        <f t="shared" si="11"/>
        <v>#N/A</v>
      </c>
      <c r="V38" s="774" t="s">
        <v>17</v>
      </c>
      <c r="W38" s="775" t="e">
        <f t="shared" si="12"/>
        <v>#N/A</v>
      </c>
      <c r="X38" s="1813"/>
      <c r="Y38" s="3856"/>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56"/>
      <c r="Q39" s="1810" t="str">
        <f t="shared" ref="Q39:Q45" si="14">B39</f>
        <v>宗地形状</v>
      </c>
      <c r="R39" s="774" t="s">
        <v>17</v>
      </c>
      <c r="S39" s="775">
        <f t="shared" si="10"/>
        <v>100</v>
      </c>
      <c r="T39" s="774" t="s">
        <v>17</v>
      </c>
      <c r="U39" s="775">
        <f t="shared" si="11"/>
        <v>100</v>
      </c>
      <c r="V39" s="774" t="s">
        <v>17</v>
      </c>
      <c r="W39" s="775">
        <f t="shared" si="12"/>
        <v>100</v>
      </c>
      <c r="X39" s="1813"/>
      <c r="Y39" s="3856"/>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56"/>
      <c r="Q40" s="1810" t="str">
        <f t="shared" si="14"/>
        <v>临街宽度及深度</v>
      </c>
      <c r="R40" s="774" t="s">
        <v>17</v>
      </c>
      <c r="S40" s="775">
        <f t="shared" si="10"/>
        <v>100</v>
      </c>
      <c r="T40" s="774" t="s">
        <v>17</v>
      </c>
      <c r="U40" s="775">
        <f t="shared" si="11"/>
        <v>100</v>
      </c>
      <c r="V40" s="774" t="s">
        <v>17</v>
      </c>
      <c r="W40" s="775">
        <f t="shared" si="12"/>
        <v>100</v>
      </c>
      <c r="X40" s="1813"/>
      <c r="Y40" s="3856"/>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56"/>
      <c r="Q41" s="1810" t="str">
        <f t="shared" si="14"/>
        <v>宗地开发程度</v>
      </c>
      <c r="R41" s="770" t="s">
        <v>17</v>
      </c>
      <c r="S41" s="771">
        <f t="shared" si="10"/>
        <v>100</v>
      </c>
      <c r="T41" s="770" t="s">
        <v>17</v>
      </c>
      <c r="U41" s="771">
        <f t="shared" si="11"/>
        <v>100</v>
      </c>
      <c r="V41" s="770" t="s">
        <v>17</v>
      </c>
      <c r="W41" s="771">
        <f t="shared" si="12"/>
        <v>100</v>
      </c>
      <c r="X41" s="772"/>
      <c r="Y41" s="3856"/>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56" t="s">
        <v>2566</v>
      </c>
      <c r="Q42" s="1810" t="str">
        <f t="shared" si="14"/>
        <v>工程地质条件</v>
      </c>
      <c r="R42" s="774" t="s">
        <v>17</v>
      </c>
      <c r="S42" s="775">
        <f t="shared" si="10"/>
        <v>100</v>
      </c>
      <c r="T42" s="774" t="s">
        <v>17</v>
      </c>
      <c r="U42" s="775">
        <f t="shared" si="11"/>
        <v>100</v>
      </c>
      <c r="V42" s="774" t="s">
        <v>17</v>
      </c>
      <c r="W42" s="775">
        <f t="shared" si="12"/>
        <v>100</v>
      </c>
      <c r="X42" s="1813"/>
      <c r="Y42" s="3856"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56"/>
      <c r="Q43" s="1810">
        <f t="shared" si="14"/>
        <v>111</v>
      </c>
      <c r="R43" s="774" t="s">
        <v>17</v>
      </c>
      <c r="S43" s="775">
        <f t="shared" si="10"/>
        <v>100</v>
      </c>
      <c r="T43" s="774" t="s">
        <v>17</v>
      </c>
      <c r="U43" s="775">
        <f t="shared" si="11"/>
        <v>100</v>
      </c>
      <c r="V43" s="774" t="s">
        <v>17</v>
      </c>
      <c r="W43" s="775">
        <f t="shared" si="12"/>
        <v>100</v>
      </c>
      <c r="X43" s="1813"/>
      <c r="Y43" s="3856"/>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56"/>
      <c r="Q44" s="1810">
        <f t="shared" si="14"/>
        <v>111</v>
      </c>
      <c r="R44" s="774" t="s">
        <v>17</v>
      </c>
      <c r="S44" s="775">
        <f t="shared" si="10"/>
        <v>100</v>
      </c>
      <c r="T44" s="774" t="s">
        <v>17</v>
      </c>
      <c r="U44" s="775">
        <f t="shared" si="11"/>
        <v>100</v>
      </c>
      <c r="V44" s="774" t="s">
        <v>17</v>
      </c>
      <c r="W44" s="775">
        <f t="shared" si="12"/>
        <v>100</v>
      </c>
      <c r="X44" s="1813"/>
      <c r="Y44" s="3856"/>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56"/>
      <c r="Q45" s="1810">
        <f t="shared" si="14"/>
        <v>111</v>
      </c>
      <c r="R45" s="777" t="s">
        <v>17</v>
      </c>
      <c r="S45" s="778">
        <f t="shared" si="10"/>
        <v>100</v>
      </c>
      <c r="T45" s="777" t="s">
        <v>17</v>
      </c>
      <c r="U45" s="778">
        <f t="shared" si="11"/>
        <v>100</v>
      </c>
      <c r="V45" s="777" t="s">
        <v>17</v>
      </c>
      <c r="W45" s="778">
        <f t="shared" si="12"/>
        <v>100</v>
      </c>
      <c r="X45" s="779"/>
      <c r="Y45" s="3856"/>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49" t="str">
        <f>A46</f>
        <v>成交单价</v>
      </c>
      <c r="Q46" s="3849"/>
      <c r="R46" s="3880">
        <f>E46</f>
        <v>0</v>
      </c>
      <c r="S46" s="3880"/>
      <c r="T46" s="3880">
        <f>G46</f>
        <v>0</v>
      </c>
      <c r="U46" s="3880"/>
      <c r="V46" s="3880">
        <f>I46</f>
        <v>0</v>
      </c>
      <c r="W46" s="388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49" t="str">
        <f>A47</f>
        <v>比较价值（元/平方米）</v>
      </c>
      <c r="Q47" s="3849"/>
      <c r="R47" s="4029" t="e">
        <f>ROUND(PRODUCT(R46,AA7:AA45),0)</f>
        <v>#DIV/0!</v>
      </c>
      <c r="S47" s="4029"/>
      <c r="T47" s="4029" t="e">
        <f>ROUND(PRODUCT(T46,AB7:AB45),0)</f>
        <v>#DIV/0!</v>
      </c>
      <c r="U47" s="4029"/>
      <c r="V47" s="4029" t="e">
        <f>ROUND(PRODUCT(V46,AC7:AC45),0)</f>
        <v>#DIV/0!</v>
      </c>
      <c r="W47" s="402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46" t="str">
        <f>A48</f>
        <v>估价对象XX用房的比较价值（楼面单价，元/平方米）</v>
      </c>
      <c r="Q48" s="3847"/>
      <c r="R48" s="4030" t="e">
        <f>ROUND(AVERAGE(R47:V47),0)</f>
        <v>#DIV/0!</v>
      </c>
      <c r="S48" s="4030"/>
      <c r="T48" s="4030"/>
      <c r="U48" s="4030"/>
      <c r="V48" s="4030"/>
      <c r="W48" s="403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64" t="s">
        <v>2765</v>
      </c>
      <c r="H55" s="4031"/>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11000.49</v>
      </c>
      <c r="F56" s="1102" t="e">
        <f t="shared" ref="F56:F65" si="15">ROUND(B56*E56/10000,0)</f>
        <v>#DIV/0!</v>
      </c>
      <c r="G56" s="3860"/>
      <c r="H56" s="384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4032"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4032"/>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4032"/>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4032"/>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0</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8"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11000.49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64" t="s">
        <v>2647</v>
      </c>
      <c r="D4" s="3865"/>
      <c r="E4" s="3866" t="s">
        <v>2648</v>
      </c>
      <c r="F4" s="3867"/>
      <c r="G4" s="3864" t="s">
        <v>2649</v>
      </c>
      <c r="H4" s="3865"/>
      <c r="I4" s="3864" t="s">
        <v>2650</v>
      </c>
      <c r="J4" s="3865"/>
      <c r="K4" s="610" t="s">
        <v>2651</v>
      </c>
      <c r="L4" s="1129"/>
      <c r="M4" s="1130"/>
      <c r="N4" s="1130"/>
      <c r="O4" s="1130"/>
      <c r="P4" s="3868" t="s">
        <v>2652</v>
      </c>
      <c r="Q4" s="3869"/>
      <c r="R4" s="3874" t="s">
        <v>2648</v>
      </c>
      <c r="S4" s="3875"/>
      <c r="T4" s="3874" t="s">
        <v>2649</v>
      </c>
      <c r="U4" s="3875"/>
      <c r="V4" s="3880" t="s">
        <v>2650</v>
      </c>
      <c r="W4" s="3880"/>
      <c r="X4" s="1813"/>
      <c r="Y4" s="3874" t="s">
        <v>2652</v>
      </c>
      <c r="Z4" s="3875"/>
      <c r="AA4" s="3861" t="s">
        <v>2648</v>
      </c>
      <c r="AB4" s="3862" t="s">
        <v>2649</v>
      </c>
      <c r="AC4" s="3861" t="s">
        <v>2650</v>
      </c>
    </row>
    <row r="5" spans="1:29" ht="15">
      <c r="A5" s="404"/>
      <c r="B5" s="405"/>
      <c r="C5" s="3883" t="s">
        <v>2543</v>
      </c>
      <c r="D5" s="3884"/>
      <c r="E5" s="3890" t="s">
        <v>2544</v>
      </c>
      <c r="F5" s="3891"/>
      <c r="G5" s="3883" t="s">
        <v>2545</v>
      </c>
      <c r="H5" s="3884"/>
      <c r="I5" s="3883" t="s">
        <v>2546</v>
      </c>
      <c r="J5" s="3884"/>
      <c r="K5" s="610"/>
      <c r="L5" s="1129"/>
      <c r="M5" s="1130"/>
      <c r="N5" s="1130"/>
      <c r="O5" s="1130"/>
      <c r="P5" s="3870"/>
      <c r="Q5" s="3871"/>
      <c r="R5" s="3876"/>
      <c r="S5" s="3877"/>
      <c r="T5" s="3876"/>
      <c r="U5" s="3877"/>
      <c r="V5" s="3880"/>
      <c r="W5" s="3880"/>
      <c r="X5" s="1813"/>
      <c r="Y5" s="3876"/>
      <c r="Z5" s="3877"/>
      <c r="AA5" s="3862"/>
      <c r="AB5" s="3862"/>
      <c r="AC5" s="3862"/>
    </row>
    <row r="6" spans="1:29" ht="15.75" thickBot="1">
      <c r="A6" s="406"/>
      <c r="B6" s="407"/>
      <c r="C6" s="4033" t="s">
        <v>2798</v>
      </c>
      <c r="D6" s="4034"/>
      <c r="E6" s="4035" t="s">
        <v>2798</v>
      </c>
      <c r="F6" s="4036"/>
      <c r="G6" s="4033" t="s">
        <v>2798</v>
      </c>
      <c r="H6" s="4034"/>
      <c r="I6" s="4033" t="s">
        <v>2798</v>
      </c>
      <c r="J6" s="4034"/>
      <c r="K6" s="610" t="s">
        <v>2548</v>
      </c>
      <c r="L6" s="1129"/>
      <c r="M6" s="1130"/>
      <c r="N6" s="1130"/>
      <c r="O6" s="1130"/>
      <c r="P6" s="3872"/>
      <c r="Q6" s="3873"/>
      <c r="R6" s="3876"/>
      <c r="S6" s="3877"/>
      <c r="T6" s="3878"/>
      <c r="U6" s="3879"/>
      <c r="V6" s="3880"/>
      <c r="W6" s="3880"/>
      <c r="X6" s="1813"/>
      <c r="Y6" s="3878"/>
      <c r="Z6" s="3879"/>
      <c r="AA6" s="3863"/>
      <c r="AB6" s="3863"/>
      <c r="AC6" s="3863"/>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85" t="s">
        <v>2550</v>
      </c>
      <c r="Q7" s="3887"/>
      <c r="R7" s="770" t="s">
        <v>17</v>
      </c>
      <c r="S7" s="771">
        <f t="shared" ref="S7:S15" si="0">F7</f>
        <v>0</v>
      </c>
      <c r="T7" s="770" t="s">
        <v>17</v>
      </c>
      <c r="U7" s="771">
        <f t="shared" ref="U7:U15" si="1">H7</f>
        <v>0</v>
      </c>
      <c r="V7" s="770" t="s">
        <v>17</v>
      </c>
      <c r="W7" s="771">
        <f t="shared" ref="W7:W15" si="2">J7</f>
        <v>0</v>
      </c>
      <c r="X7" s="772"/>
      <c r="Y7" s="3885" t="s">
        <v>2550</v>
      </c>
      <c r="Z7" s="388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85" t="s">
        <v>2553</v>
      </c>
      <c r="Q8" s="3886"/>
      <c r="R8" s="770" t="s">
        <v>17</v>
      </c>
      <c r="S8" s="771">
        <f t="shared" si="0"/>
        <v>0</v>
      </c>
      <c r="T8" s="770" t="s">
        <v>17</v>
      </c>
      <c r="U8" s="771">
        <f t="shared" si="1"/>
        <v>0</v>
      </c>
      <c r="V8" s="770" t="s">
        <v>17</v>
      </c>
      <c r="W8" s="771">
        <f t="shared" si="2"/>
        <v>0</v>
      </c>
      <c r="X8" s="772"/>
      <c r="Y8" s="3885" t="s">
        <v>2553</v>
      </c>
      <c r="Z8" s="3886"/>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49" t="s">
        <v>2556</v>
      </c>
      <c r="Q9" s="1795" t="str">
        <f t="shared" ref="Q9:Q15" si="6">B9</f>
        <v>用途</v>
      </c>
      <c r="R9" s="770" t="s">
        <v>17</v>
      </c>
      <c r="S9" s="771">
        <f t="shared" si="0"/>
        <v>100</v>
      </c>
      <c r="T9" s="770" t="s">
        <v>17</v>
      </c>
      <c r="U9" s="771">
        <f t="shared" si="1"/>
        <v>100</v>
      </c>
      <c r="V9" s="770" t="s">
        <v>17</v>
      </c>
      <c r="W9" s="771">
        <f t="shared" si="2"/>
        <v>100</v>
      </c>
      <c r="X9" s="772"/>
      <c r="Y9" s="370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4"/>
      <c r="M10" s="1135"/>
      <c r="N10" s="1135"/>
      <c r="O10" s="1136"/>
      <c r="P10" s="3849"/>
      <c r="Q10" s="1795" t="str">
        <f t="shared" si="6"/>
        <v>土地使用年限（年）</v>
      </c>
      <c r="R10" s="770" t="s">
        <v>17</v>
      </c>
      <c r="S10" s="771" t="e">
        <f t="shared" si="0"/>
        <v>#DIV/0!</v>
      </c>
      <c r="T10" s="770" t="s">
        <v>17</v>
      </c>
      <c r="U10" s="771" t="e">
        <f t="shared" si="1"/>
        <v>#DIV/0!</v>
      </c>
      <c r="V10" s="770" t="s">
        <v>17</v>
      </c>
      <c r="W10" s="771" t="e">
        <f t="shared" si="2"/>
        <v>#DIV/0!</v>
      </c>
      <c r="X10" s="772"/>
      <c r="Y10" s="3704"/>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49"/>
      <c r="Q11" s="1795" t="str">
        <f t="shared" si="6"/>
        <v>容积率</v>
      </c>
      <c r="R11" s="770" t="s">
        <v>17</v>
      </c>
      <c r="S11" s="771" t="e">
        <f t="shared" si="0"/>
        <v>#N/A</v>
      </c>
      <c r="T11" s="770" t="s">
        <v>17</v>
      </c>
      <c r="U11" s="771" t="e">
        <f t="shared" si="1"/>
        <v>#N/A</v>
      </c>
      <c r="V11" s="770" t="s">
        <v>17</v>
      </c>
      <c r="W11" s="771" t="e">
        <f t="shared" si="2"/>
        <v>#N/A</v>
      </c>
      <c r="X11" s="772"/>
      <c r="Y11" s="370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49"/>
      <c r="Q12" s="1795">
        <f t="shared" si="6"/>
        <v>111</v>
      </c>
      <c r="R12" s="770" t="s">
        <v>17</v>
      </c>
      <c r="S12" s="771">
        <f t="shared" si="0"/>
        <v>100</v>
      </c>
      <c r="T12" s="770" t="s">
        <v>17</v>
      </c>
      <c r="U12" s="771">
        <f t="shared" si="1"/>
        <v>100</v>
      </c>
      <c r="V12" s="770" t="s">
        <v>17</v>
      </c>
      <c r="W12" s="771">
        <f t="shared" si="2"/>
        <v>100</v>
      </c>
      <c r="X12" s="772"/>
      <c r="Y12" s="370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49"/>
      <c r="Q13" s="1795">
        <f t="shared" si="6"/>
        <v>111</v>
      </c>
      <c r="R13" s="770" t="s">
        <v>17</v>
      </c>
      <c r="S13" s="771">
        <f t="shared" si="0"/>
        <v>100</v>
      </c>
      <c r="T13" s="770" t="s">
        <v>17</v>
      </c>
      <c r="U13" s="771">
        <f t="shared" si="1"/>
        <v>100</v>
      </c>
      <c r="V13" s="770" t="s">
        <v>17</v>
      </c>
      <c r="W13" s="771">
        <f t="shared" si="2"/>
        <v>100</v>
      </c>
      <c r="X13" s="772"/>
      <c r="Y13" s="370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49"/>
      <c r="Q14" s="1795">
        <f t="shared" si="6"/>
        <v>111</v>
      </c>
      <c r="R14" s="770" t="s">
        <v>17</v>
      </c>
      <c r="S14" s="771">
        <f t="shared" si="0"/>
        <v>100</v>
      </c>
      <c r="T14" s="770" t="s">
        <v>17</v>
      </c>
      <c r="U14" s="771">
        <f t="shared" si="1"/>
        <v>100</v>
      </c>
      <c r="V14" s="770" t="s">
        <v>17</v>
      </c>
      <c r="W14" s="771">
        <f t="shared" si="2"/>
        <v>100</v>
      </c>
      <c r="X14" s="772"/>
      <c r="Y14" s="3704"/>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51" t="s">
        <v>2561</v>
      </c>
      <c r="Q15" s="1810" t="str">
        <f t="shared" si="6"/>
        <v>产业集聚程度</v>
      </c>
      <c r="R15" s="774" t="s">
        <v>17</v>
      </c>
      <c r="S15" s="775">
        <f t="shared" si="0"/>
        <v>100</v>
      </c>
      <c r="T15" s="774" t="s">
        <v>17</v>
      </c>
      <c r="U15" s="775">
        <f t="shared" si="1"/>
        <v>100</v>
      </c>
      <c r="V15" s="774" t="s">
        <v>17</v>
      </c>
      <c r="W15" s="775">
        <f t="shared" si="2"/>
        <v>100</v>
      </c>
      <c r="X15" s="1813"/>
      <c r="Y15" s="3851"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52"/>
      <c r="Q16" s="1810"/>
      <c r="R16" s="774"/>
      <c r="S16" s="775"/>
      <c r="T16" s="774"/>
      <c r="U16" s="775"/>
      <c r="V16" s="774"/>
      <c r="W16" s="775"/>
      <c r="X16" s="1813"/>
      <c r="Y16" s="3852"/>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52"/>
      <c r="Q17" s="1810" t="str">
        <f>B17</f>
        <v>交通便捷度</v>
      </c>
      <c r="R17" s="774" t="s">
        <v>17</v>
      </c>
      <c r="S17" s="775">
        <f>F17</f>
        <v>100</v>
      </c>
      <c r="T17" s="774" t="s">
        <v>17</v>
      </c>
      <c r="U17" s="775">
        <f>H17</f>
        <v>100</v>
      </c>
      <c r="V17" s="774" t="s">
        <v>17</v>
      </c>
      <c r="W17" s="775">
        <f>J17</f>
        <v>100</v>
      </c>
      <c r="X17" s="1813"/>
      <c r="Y17" s="3852"/>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52"/>
      <c r="Q18" s="1810"/>
      <c r="R18" s="774"/>
      <c r="S18" s="775"/>
      <c r="T18" s="774"/>
      <c r="U18" s="775"/>
      <c r="V18" s="774"/>
      <c r="W18" s="775"/>
      <c r="X18" s="1813"/>
      <c r="Y18" s="3852"/>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52"/>
      <c r="Q19" s="1810" t="str">
        <f t="shared" ref="Q19:Q33" si="8">B19</f>
        <v>区域土地利用方向</v>
      </c>
      <c r="R19" s="774" t="s">
        <v>17</v>
      </c>
      <c r="S19" s="775">
        <f>F19</f>
        <v>100</v>
      </c>
      <c r="T19" s="774" t="s">
        <v>17</v>
      </c>
      <c r="U19" s="775">
        <f>H19</f>
        <v>100</v>
      </c>
      <c r="V19" s="774" t="s">
        <v>17</v>
      </c>
      <c r="W19" s="775">
        <f>J19</f>
        <v>100</v>
      </c>
      <c r="X19" s="1813"/>
      <c r="Y19" s="3852"/>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52"/>
      <c r="Q20" s="1810"/>
      <c r="R20" s="774"/>
      <c r="S20" s="775"/>
      <c r="T20" s="774"/>
      <c r="U20" s="775"/>
      <c r="V20" s="774"/>
      <c r="W20" s="775"/>
      <c r="X20" s="1813"/>
      <c r="Y20" s="3852"/>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52"/>
      <c r="Q21" s="1810" t="str">
        <f t="shared" si="8"/>
        <v>环境状况</v>
      </c>
      <c r="R21" s="774" t="s">
        <v>17</v>
      </c>
      <c r="S21" s="775">
        <f>F21</f>
        <v>100</v>
      </c>
      <c r="T21" s="774" t="s">
        <v>17</v>
      </c>
      <c r="U21" s="775">
        <f>H21</f>
        <v>100</v>
      </c>
      <c r="V21" s="774" t="s">
        <v>17</v>
      </c>
      <c r="W21" s="775">
        <f>J21</f>
        <v>100</v>
      </c>
      <c r="X21" s="1813"/>
      <c r="Y21" s="3852"/>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52"/>
      <c r="Q22" s="1810"/>
      <c r="R22" s="774"/>
      <c r="S22" s="775"/>
      <c r="T22" s="774"/>
      <c r="U22" s="775"/>
      <c r="V22" s="774"/>
      <c r="W22" s="775"/>
      <c r="X22" s="1813"/>
      <c r="Y22" s="3852"/>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52"/>
      <c r="Q23" s="1795" t="str">
        <f t="shared" si="8"/>
        <v>公共配套设施</v>
      </c>
      <c r="R23" s="770" t="s">
        <v>17</v>
      </c>
      <c r="S23" s="771">
        <f>F23</f>
        <v>100</v>
      </c>
      <c r="T23" s="770" t="s">
        <v>17</v>
      </c>
      <c r="U23" s="771">
        <f>H23</f>
        <v>100</v>
      </c>
      <c r="V23" s="770" t="s">
        <v>17</v>
      </c>
      <c r="W23" s="771">
        <f>J23</f>
        <v>100</v>
      </c>
      <c r="X23" s="772"/>
      <c r="Y23" s="3852"/>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52"/>
      <c r="Q24" s="1795"/>
      <c r="R24" s="770"/>
      <c r="S24" s="771"/>
      <c r="T24" s="770"/>
      <c r="U24" s="771"/>
      <c r="V24" s="770"/>
      <c r="W24" s="771"/>
      <c r="X24" s="772"/>
      <c r="Y24" s="3852"/>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52"/>
      <c r="Q25" s="1795" t="str">
        <f t="shared" ref="Q25" si="9">B25</f>
        <v>基础设施水平</v>
      </c>
      <c r="R25" s="770" t="s">
        <v>17</v>
      </c>
      <c r="S25" s="771">
        <f>F25</f>
        <v>100</v>
      </c>
      <c r="T25" s="770" t="s">
        <v>17</v>
      </c>
      <c r="U25" s="771">
        <f>H25</f>
        <v>100</v>
      </c>
      <c r="V25" s="770" t="s">
        <v>17</v>
      </c>
      <c r="W25" s="771">
        <f>J25</f>
        <v>100</v>
      </c>
      <c r="X25" s="772"/>
      <c r="Y25" s="3852"/>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52"/>
      <c r="Q26" s="1795"/>
      <c r="R26" s="770"/>
      <c r="S26" s="771"/>
      <c r="T26" s="770"/>
      <c r="U26" s="771"/>
      <c r="V26" s="770"/>
      <c r="W26" s="771"/>
      <c r="X26" s="772"/>
      <c r="Y26" s="385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5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52"/>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52"/>
      <c r="Q28" s="1810" t="str">
        <f t="shared" si="8"/>
        <v>毗邻道路的类型与等级</v>
      </c>
      <c r="R28" s="774" t="s">
        <v>17</v>
      </c>
      <c r="S28" s="775">
        <f t="shared" si="10"/>
        <v>100</v>
      </c>
      <c r="T28" s="774" t="s">
        <v>17</v>
      </c>
      <c r="U28" s="775">
        <f t="shared" si="11"/>
        <v>100</v>
      </c>
      <c r="V28" s="774" t="s">
        <v>17</v>
      </c>
      <c r="W28" s="775">
        <f t="shared" si="12"/>
        <v>100</v>
      </c>
      <c r="X28" s="1813"/>
      <c r="Y28" s="3852"/>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52"/>
      <c r="Q29" s="1810"/>
      <c r="R29" s="774"/>
      <c r="S29" s="775"/>
      <c r="T29" s="774"/>
      <c r="U29" s="775"/>
      <c r="V29" s="774"/>
      <c r="W29" s="775"/>
      <c r="X29" s="1813"/>
      <c r="Y29" s="3852"/>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52"/>
      <c r="Q30" s="1810" t="str">
        <f t="shared" si="8"/>
        <v>土地级别</v>
      </c>
      <c r="R30" s="774" t="s">
        <v>17</v>
      </c>
      <c r="S30" s="775">
        <f t="shared" si="10"/>
        <v>100</v>
      </c>
      <c r="T30" s="774" t="s">
        <v>17</v>
      </c>
      <c r="U30" s="775">
        <f t="shared" si="11"/>
        <v>100</v>
      </c>
      <c r="V30" s="774" t="s">
        <v>17</v>
      </c>
      <c r="W30" s="775">
        <f t="shared" si="12"/>
        <v>100</v>
      </c>
      <c r="X30" s="1813"/>
      <c r="Y30" s="3852"/>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52"/>
      <c r="Q31" s="1810">
        <f t="shared" si="8"/>
        <v>111</v>
      </c>
      <c r="R31" s="774" t="s">
        <v>17</v>
      </c>
      <c r="S31" s="775">
        <f t="shared" si="10"/>
        <v>100</v>
      </c>
      <c r="T31" s="774" t="s">
        <v>17</v>
      </c>
      <c r="U31" s="775">
        <f t="shared" si="11"/>
        <v>100</v>
      </c>
      <c r="V31" s="774" t="s">
        <v>17</v>
      </c>
      <c r="W31" s="775">
        <f t="shared" si="12"/>
        <v>100</v>
      </c>
      <c r="X31" s="1813"/>
      <c r="Y31" s="3852"/>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8" t="s">
        <v>2566</v>
      </c>
      <c r="Q32" s="1810">
        <f t="shared" si="8"/>
        <v>111</v>
      </c>
      <c r="R32" s="774" t="s">
        <v>17</v>
      </c>
      <c r="S32" s="775">
        <f t="shared" si="10"/>
        <v>100</v>
      </c>
      <c r="T32" s="774" t="s">
        <v>17</v>
      </c>
      <c r="U32" s="775">
        <f t="shared" si="11"/>
        <v>100</v>
      </c>
      <c r="V32" s="774" t="s">
        <v>17</v>
      </c>
      <c r="W32" s="775">
        <f t="shared" si="12"/>
        <v>100</v>
      </c>
      <c r="X32" s="1813"/>
      <c r="Y32" s="3856"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56"/>
      <c r="Q33" s="1810">
        <f t="shared" si="8"/>
        <v>111</v>
      </c>
      <c r="R33" s="777" t="s">
        <v>17</v>
      </c>
      <c r="S33" s="778">
        <f t="shared" si="10"/>
        <v>100</v>
      </c>
      <c r="T33" s="777" t="s">
        <v>17</v>
      </c>
      <c r="U33" s="778">
        <f t="shared" si="11"/>
        <v>100</v>
      </c>
      <c r="V33" s="777" t="s">
        <v>17</v>
      </c>
      <c r="W33" s="778">
        <f t="shared" si="12"/>
        <v>100</v>
      </c>
      <c r="X33" s="779"/>
      <c r="Y33" s="3856"/>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56"/>
      <c r="Q34" s="1810" t="str">
        <f>B34</f>
        <v>宗地面积</v>
      </c>
      <c r="R34" s="774" t="s">
        <v>17</v>
      </c>
      <c r="S34" s="775" t="e">
        <f t="shared" si="10"/>
        <v>#N/A</v>
      </c>
      <c r="T34" s="774" t="s">
        <v>17</v>
      </c>
      <c r="U34" s="775" t="e">
        <f t="shared" si="11"/>
        <v>#N/A</v>
      </c>
      <c r="V34" s="774" t="s">
        <v>17</v>
      </c>
      <c r="W34" s="775" t="e">
        <f t="shared" si="12"/>
        <v>#N/A</v>
      </c>
      <c r="X34" s="1813"/>
      <c r="Y34" s="3856"/>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56"/>
      <c r="Q35" s="1810" t="str">
        <f t="shared" ref="Q35:Q40" si="14">B35</f>
        <v>宗地形状</v>
      </c>
      <c r="R35" s="774" t="s">
        <v>17</v>
      </c>
      <c r="S35" s="775">
        <f t="shared" si="10"/>
        <v>100</v>
      </c>
      <c r="T35" s="774" t="s">
        <v>17</v>
      </c>
      <c r="U35" s="775">
        <f t="shared" si="11"/>
        <v>100</v>
      </c>
      <c r="V35" s="774" t="s">
        <v>17</v>
      </c>
      <c r="W35" s="775">
        <f t="shared" si="12"/>
        <v>100</v>
      </c>
      <c r="X35" s="1813"/>
      <c r="Y35" s="3856"/>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56"/>
      <c r="Q36" s="1810" t="str">
        <f t="shared" si="14"/>
        <v>宗地开发程度</v>
      </c>
      <c r="R36" s="770" t="s">
        <v>17</v>
      </c>
      <c r="S36" s="771">
        <f t="shared" si="10"/>
        <v>100</v>
      </c>
      <c r="T36" s="770" t="s">
        <v>17</v>
      </c>
      <c r="U36" s="771">
        <f t="shared" si="11"/>
        <v>100</v>
      </c>
      <c r="V36" s="770" t="s">
        <v>17</v>
      </c>
      <c r="W36" s="771">
        <f t="shared" si="12"/>
        <v>100</v>
      </c>
      <c r="X36" s="772"/>
      <c r="Y36" s="3856"/>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56" t="s">
        <v>2566</v>
      </c>
      <c r="Q37" s="1810" t="str">
        <f t="shared" si="14"/>
        <v>工程地质条件</v>
      </c>
      <c r="R37" s="774" t="s">
        <v>17</v>
      </c>
      <c r="S37" s="775">
        <f t="shared" si="10"/>
        <v>100</v>
      </c>
      <c r="T37" s="774" t="s">
        <v>17</v>
      </c>
      <c r="U37" s="775">
        <f t="shared" si="11"/>
        <v>100</v>
      </c>
      <c r="V37" s="774" t="s">
        <v>17</v>
      </c>
      <c r="W37" s="775">
        <f t="shared" si="12"/>
        <v>100</v>
      </c>
      <c r="X37" s="1813"/>
      <c r="Y37" s="3856"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56"/>
      <c r="Q38" s="1810">
        <f t="shared" si="14"/>
        <v>111</v>
      </c>
      <c r="R38" s="774" t="s">
        <v>17</v>
      </c>
      <c r="S38" s="775">
        <f t="shared" si="10"/>
        <v>100</v>
      </c>
      <c r="T38" s="774" t="s">
        <v>17</v>
      </c>
      <c r="U38" s="775">
        <f t="shared" si="11"/>
        <v>100</v>
      </c>
      <c r="V38" s="774" t="s">
        <v>17</v>
      </c>
      <c r="W38" s="775">
        <f t="shared" si="12"/>
        <v>100</v>
      </c>
      <c r="X38" s="1813"/>
      <c r="Y38" s="3856"/>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56"/>
      <c r="Q39" s="1810">
        <f t="shared" si="14"/>
        <v>111</v>
      </c>
      <c r="R39" s="774" t="s">
        <v>17</v>
      </c>
      <c r="S39" s="775">
        <f t="shared" si="10"/>
        <v>100</v>
      </c>
      <c r="T39" s="774" t="s">
        <v>17</v>
      </c>
      <c r="U39" s="775">
        <f t="shared" si="11"/>
        <v>100</v>
      </c>
      <c r="V39" s="774" t="s">
        <v>17</v>
      </c>
      <c r="W39" s="775">
        <f t="shared" si="12"/>
        <v>100</v>
      </c>
      <c r="X39" s="1813"/>
      <c r="Y39" s="3856"/>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56"/>
      <c r="Q40" s="1810">
        <f t="shared" si="14"/>
        <v>111</v>
      </c>
      <c r="R40" s="777" t="s">
        <v>17</v>
      </c>
      <c r="S40" s="778">
        <f t="shared" si="10"/>
        <v>100</v>
      </c>
      <c r="T40" s="777" t="s">
        <v>17</v>
      </c>
      <c r="U40" s="778">
        <f t="shared" si="11"/>
        <v>100</v>
      </c>
      <c r="V40" s="777" t="s">
        <v>17</v>
      </c>
      <c r="W40" s="778">
        <f t="shared" si="12"/>
        <v>100</v>
      </c>
      <c r="X40" s="779"/>
      <c r="Y40" s="3856"/>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49" t="str">
        <f>A41</f>
        <v>成交单价</v>
      </c>
      <c r="Q41" s="3849"/>
      <c r="R41" s="3880">
        <f>E41</f>
        <v>0</v>
      </c>
      <c r="S41" s="3880"/>
      <c r="T41" s="3880">
        <f>G41</f>
        <v>0</v>
      </c>
      <c r="U41" s="3880"/>
      <c r="V41" s="3880">
        <f>I41</f>
        <v>0</v>
      </c>
      <c r="W41" s="388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49" t="str">
        <f>A42</f>
        <v>比较价值（元/平方米）</v>
      </c>
      <c r="Q42" s="3849"/>
      <c r="R42" s="4029" t="e">
        <f>ROUND(PRODUCT(R41,AA7:AA40),0)</f>
        <v>#DIV/0!</v>
      </c>
      <c r="S42" s="4029"/>
      <c r="T42" s="4029" t="e">
        <f>ROUND(PRODUCT(T41,AB7:AB40),0)</f>
        <v>#DIV/0!</v>
      </c>
      <c r="U42" s="4029"/>
      <c r="V42" s="4029" t="e">
        <f>ROUND(PRODUCT(V41,AC7:AC40),0)</f>
        <v>#DIV/0!</v>
      </c>
      <c r="W42" s="402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46" t="str">
        <f>A43</f>
        <v>估价对象XX用房的比较价值（楼面单价，元/平方米）</v>
      </c>
      <c r="Q43" s="3847"/>
      <c r="R43" s="4030" t="e">
        <f>ROUND(AVERAGE(R42:V42),0)</f>
        <v>#DIV/0!</v>
      </c>
      <c r="S43" s="4030"/>
      <c r="T43" s="4030"/>
      <c r="U43" s="4030"/>
      <c r="V43" s="4030"/>
      <c r="W43" s="403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64" t="s">
        <v>2765</v>
      </c>
      <c r="H50" s="4031"/>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11000.49</v>
      </c>
      <c r="F51" s="691" t="e">
        <f t="shared" ref="F51:F60" si="15">ROUND(B51*E51/10000,0)</f>
        <v>#DIV/0!</v>
      </c>
      <c r="G51" s="3860"/>
      <c r="H51" s="384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4032"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4032"/>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4032"/>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4032"/>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0</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8"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2087.48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4037" t="s">
        <v>183</v>
      </c>
      <c r="B18" s="878" t="s">
        <v>560</v>
      </c>
      <c r="C18" s="879" t="s">
        <v>561</v>
      </c>
      <c r="D18" s="880"/>
      <c r="E18" s="878">
        <v>1</v>
      </c>
      <c r="F18" s="881" t="s">
        <v>562</v>
      </c>
      <c r="G18" s="882"/>
      <c r="H18" s="874"/>
      <c r="I18" s="874"/>
    </row>
    <row r="19" spans="1:9" s="883" customFormat="1" ht="19.5" customHeight="1">
      <c r="A19" s="4037"/>
      <c r="B19" s="4037" t="s">
        <v>563</v>
      </c>
      <c r="C19" s="879" t="s">
        <v>564</v>
      </c>
      <c r="D19" s="880"/>
      <c r="E19" s="878">
        <v>0.9</v>
      </c>
      <c r="F19" s="881" t="s">
        <v>565</v>
      </c>
      <c r="G19" s="882"/>
      <c r="H19" s="874"/>
      <c r="I19" s="874"/>
    </row>
    <row r="20" spans="1:9" s="883" customFormat="1" ht="19.5" customHeight="1">
      <c r="A20" s="4037"/>
      <c r="B20" s="4037"/>
      <c r="C20" s="879" t="s">
        <v>566</v>
      </c>
      <c r="D20" s="880"/>
      <c r="E20" s="878">
        <v>1.1000000000000001</v>
      </c>
      <c r="F20" s="881" t="s">
        <v>567</v>
      </c>
      <c r="G20" s="882"/>
      <c r="H20" s="874"/>
      <c r="I20" s="874"/>
    </row>
    <row r="21" spans="1:9" s="883" customFormat="1" ht="19.5" customHeight="1">
      <c r="A21" s="4037"/>
      <c r="B21" s="4037"/>
      <c r="C21" s="879" t="s">
        <v>568</v>
      </c>
      <c r="D21" s="880"/>
      <c r="E21" s="878">
        <v>0.8</v>
      </c>
      <c r="F21" s="881" t="s">
        <v>569</v>
      </c>
      <c r="G21" s="882"/>
      <c r="H21" s="874"/>
      <c r="I21" s="874"/>
    </row>
    <row r="22" spans="1:9" s="883" customFormat="1" ht="19.5" customHeight="1">
      <c r="A22" s="4037"/>
      <c r="B22" s="4037"/>
      <c r="C22" s="879" t="s">
        <v>570</v>
      </c>
      <c r="D22" s="880"/>
      <c r="E22" s="878">
        <v>0.5</v>
      </c>
      <c r="F22" s="881"/>
      <c r="G22" s="882"/>
      <c r="H22" s="874"/>
      <c r="I22" s="874"/>
    </row>
    <row r="23" spans="1:9" s="883" customFormat="1" ht="19.5" customHeight="1">
      <c r="A23" s="4037" t="s">
        <v>184</v>
      </c>
      <c r="B23" s="878" t="s">
        <v>560</v>
      </c>
      <c r="C23" s="879" t="s">
        <v>571</v>
      </c>
      <c r="D23" s="880"/>
      <c r="E23" s="878">
        <v>1</v>
      </c>
      <c r="F23" s="881" t="s">
        <v>572</v>
      </c>
      <c r="G23" s="882"/>
      <c r="H23" s="874"/>
      <c r="I23" s="874"/>
    </row>
    <row r="24" spans="1:9" s="883" customFormat="1" ht="19.5" customHeight="1">
      <c r="A24" s="4037"/>
      <c r="B24" s="4037" t="s">
        <v>563</v>
      </c>
      <c r="C24" s="879" t="s">
        <v>573</v>
      </c>
      <c r="D24" s="880"/>
      <c r="E24" s="878">
        <v>0.5</v>
      </c>
      <c r="F24" s="881"/>
      <c r="G24" s="882"/>
      <c r="H24" s="874"/>
      <c r="I24" s="874"/>
    </row>
    <row r="25" spans="1:9" s="883" customFormat="1" ht="19.5" customHeight="1">
      <c r="A25" s="4037"/>
      <c r="B25" s="4037"/>
      <c r="C25" s="879" t="s">
        <v>574</v>
      </c>
      <c r="D25" s="880"/>
      <c r="E25" s="878">
        <v>1.1000000000000001</v>
      </c>
      <c r="F25" s="881"/>
      <c r="G25" s="882"/>
      <c r="H25" s="874"/>
      <c r="I25" s="874"/>
    </row>
    <row r="26" spans="1:9" s="883" customFormat="1" ht="19.5" customHeight="1">
      <c r="A26" s="4037"/>
      <c r="B26" s="4037"/>
      <c r="C26" s="879" t="s">
        <v>575</v>
      </c>
      <c r="D26" s="880"/>
      <c r="E26" s="878">
        <v>1.1000000000000001</v>
      </c>
      <c r="F26" s="881"/>
      <c r="G26" s="882"/>
      <c r="H26" s="874"/>
      <c r="I26" s="874"/>
    </row>
    <row r="27" spans="1:9" s="883" customFormat="1" ht="19.5" customHeight="1">
      <c r="A27" s="4037"/>
      <c r="B27" s="4037"/>
      <c r="C27" s="879" t="s">
        <v>576</v>
      </c>
      <c r="D27" s="880"/>
      <c r="E27" s="878">
        <v>0.9</v>
      </c>
      <c r="F27" s="881" t="s">
        <v>577</v>
      </c>
      <c r="G27" s="882"/>
      <c r="H27" s="874"/>
      <c r="I27" s="874"/>
    </row>
    <row r="28" spans="1:9" s="883" customFormat="1" ht="19.5" customHeight="1">
      <c r="A28" s="4037"/>
      <c r="B28" s="4037"/>
      <c r="C28" s="879" t="s">
        <v>578</v>
      </c>
      <c r="D28" s="880"/>
      <c r="E28" s="878">
        <v>0.9</v>
      </c>
      <c r="F28" s="881" t="s">
        <v>579</v>
      </c>
      <c r="G28" s="882"/>
      <c r="H28" s="874"/>
      <c r="I28" s="874"/>
    </row>
    <row r="29" spans="1:9" s="883" customFormat="1" ht="19.5" customHeight="1">
      <c r="A29" s="4037"/>
      <c r="B29" s="4037"/>
      <c r="C29" s="879" t="s">
        <v>580</v>
      </c>
      <c r="D29" s="880"/>
      <c r="E29" s="878">
        <v>0.9</v>
      </c>
      <c r="F29" s="881" t="s">
        <v>581</v>
      </c>
      <c r="G29" s="882"/>
      <c r="H29" s="874"/>
      <c r="I29" s="874"/>
    </row>
    <row r="30" spans="1:9" s="883" customFormat="1" ht="19.5" customHeight="1">
      <c r="A30" s="4037"/>
      <c r="B30" s="4037"/>
      <c r="C30" s="879" t="s">
        <v>582</v>
      </c>
      <c r="D30" s="880"/>
      <c r="E30" s="878">
        <v>0.9</v>
      </c>
      <c r="F30" s="881" t="s">
        <v>583</v>
      </c>
      <c r="G30" s="882"/>
      <c r="H30" s="874"/>
      <c r="I30" s="874"/>
    </row>
    <row r="31" spans="1:9" s="883" customFormat="1" ht="19.5" customHeight="1">
      <c r="A31" s="4037"/>
      <c r="B31" s="4037"/>
      <c r="C31" s="879" t="s">
        <v>584</v>
      </c>
      <c r="D31" s="880"/>
      <c r="E31" s="878">
        <v>0.8</v>
      </c>
      <c r="F31" s="881" t="s">
        <v>585</v>
      </c>
      <c r="G31" s="882"/>
      <c r="H31" s="874"/>
      <c r="I31" s="874"/>
    </row>
    <row r="32" spans="1:9" s="883" customFormat="1" ht="19.5" customHeight="1">
      <c r="A32" s="4037"/>
      <c r="B32" s="4037"/>
      <c r="C32" s="879" t="s">
        <v>586</v>
      </c>
      <c r="D32" s="880"/>
      <c r="E32" s="878">
        <v>0.8</v>
      </c>
      <c r="F32" s="881" t="s">
        <v>587</v>
      </c>
      <c r="G32" s="882"/>
      <c r="H32" s="874"/>
      <c r="I32" s="874"/>
    </row>
    <row r="33" spans="1:9" s="883" customFormat="1" ht="19.5" customHeight="1">
      <c r="A33" s="4037" t="s">
        <v>185</v>
      </c>
      <c r="B33" s="878" t="s">
        <v>560</v>
      </c>
      <c r="C33" s="879" t="s">
        <v>588</v>
      </c>
      <c r="D33" s="880"/>
      <c r="E33" s="878">
        <v>1</v>
      </c>
      <c r="F33" s="881" t="s">
        <v>589</v>
      </c>
      <c r="G33" s="882"/>
      <c r="H33" s="874"/>
      <c r="I33" s="874"/>
    </row>
    <row r="34" spans="1:9" s="883" customFormat="1" ht="19.5" customHeight="1">
      <c r="A34" s="4037"/>
      <c r="B34" s="878" t="s">
        <v>563</v>
      </c>
      <c r="C34" s="879" t="s">
        <v>590</v>
      </c>
      <c r="D34" s="880"/>
      <c r="E34" s="878">
        <v>1.5</v>
      </c>
      <c r="F34" s="881" t="s">
        <v>591</v>
      </c>
      <c r="G34" s="882"/>
      <c r="H34" s="874"/>
      <c r="I34" s="874"/>
    </row>
    <row r="35" spans="1:9" s="883" customFormat="1" ht="19.5" customHeight="1">
      <c r="A35" s="4037" t="s">
        <v>186</v>
      </c>
      <c r="B35" s="878" t="s">
        <v>560</v>
      </c>
      <c r="C35" s="879" t="s">
        <v>592</v>
      </c>
      <c r="D35" s="880"/>
      <c r="E35" s="878">
        <v>1</v>
      </c>
      <c r="F35" s="881" t="s">
        <v>593</v>
      </c>
      <c r="G35" s="882"/>
      <c r="H35" s="874"/>
      <c r="I35" s="874"/>
    </row>
    <row r="36" spans="1:9" s="883" customFormat="1" ht="19.5" customHeight="1">
      <c r="A36" s="4037"/>
      <c r="B36" s="4037" t="s">
        <v>563</v>
      </c>
      <c r="C36" s="879" t="s">
        <v>594</v>
      </c>
      <c r="D36" s="880"/>
      <c r="E36" s="878">
        <v>1</v>
      </c>
      <c r="F36" s="881" t="s">
        <v>595</v>
      </c>
      <c r="G36" s="882"/>
      <c r="H36" s="874"/>
      <c r="I36" s="874"/>
    </row>
    <row r="37" spans="1:9" s="883" customFormat="1" ht="19.5" customHeight="1">
      <c r="A37" s="4037"/>
      <c r="B37" s="4037"/>
      <c r="C37" s="879" t="s">
        <v>596</v>
      </c>
      <c r="D37" s="880"/>
      <c r="E37" s="878">
        <v>1.5</v>
      </c>
      <c r="F37" s="881" t="s">
        <v>597</v>
      </c>
      <c r="G37" s="882"/>
      <c r="H37" s="874"/>
      <c r="I37" s="874"/>
    </row>
    <row r="38" spans="1:9" s="883" customFormat="1" ht="19.5" customHeight="1">
      <c r="A38" s="4037"/>
      <c r="B38" s="4037"/>
      <c r="C38" s="879" t="s">
        <v>598</v>
      </c>
      <c r="D38" s="880"/>
      <c r="E38" s="878">
        <v>1</v>
      </c>
      <c r="F38" s="881" t="s">
        <v>599</v>
      </c>
      <c r="G38" s="882"/>
      <c r="H38" s="874"/>
      <c r="I38" s="874"/>
    </row>
    <row r="39" spans="1:9" s="883" customFormat="1" ht="19.5" customHeight="1">
      <c r="A39" s="4037"/>
      <c r="B39" s="403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4037" t="s">
        <v>614</v>
      </c>
      <c r="C61" s="814" t="s">
        <v>615</v>
      </c>
      <c r="D61" s="814" t="s">
        <v>616</v>
      </c>
      <c r="E61" s="891">
        <v>0.5</v>
      </c>
      <c r="F61" s="878">
        <v>80</v>
      </c>
    </row>
    <row r="62" spans="1:8" s="874" customFormat="1" ht="24">
      <c r="A62" s="878">
        <v>2</v>
      </c>
      <c r="B62" s="4037"/>
      <c r="C62" s="814" t="s">
        <v>617</v>
      </c>
      <c r="D62" s="814" t="s">
        <v>618</v>
      </c>
      <c r="E62" s="891">
        <v>0.5</v>
      </c>
      <c r="F62" s="878">
        <v>80</v>
      </c>
    </row>
    <row r="63" spans="1:8" s="874" customFormat="1" ht="36">
      <c r="A63" s="878">
        <v>3</v>
      </c>
      <c r="B63" s="4037"/>
      <c r="C63" s="814" t="s">
        <v>619</v>
      </c>
      <c r="D63" s="814" t="s">
        <v>620</v>
      </c>
      <c r="E63" s="891">
        <v>0.5</v>
      </c>
      <c r="F63" s="878">
        <v>80</v>
      </c>
    </row>
    <row r="64" spans="1:8" s="874" customFormat="1" ht="36">
      <c r="A64" s="878">
        <v>4</v>
      </c>
      <c r="B64" s="4037"/>
      <c r="C64" s="814" t="s">
        <v>621</v>
      </c>
      <c r="D64" s="814" t="s">
        <v>622</v>
      </c>
      <c r="E64" s="891">
        <v>0.4</v>
      </c>
      <c r="F64" s="878">
        <v>60</v>
      </c>
    </row>
    <row r="65" spans="1:6" s="874" customFormat="1" ht="36">
      <c r="A65" s="878">
        <v>5</v>
      </c>
      <c r="B65" s="4037"/>
      <c r="C65" s="814" t="s">
        <v>623</v>
      </c>
      <c r="D65" s="814" t="s">
        <v>624</v>
      </c>
      <c r="E65" s="891">
        <v>0.2</v>
      </c>
      <c r="F65" s="878">
        <v>30</v>
      </c>
    </row>
    <row r="66" spans="1:6" s="874" customFormat="1" ht="36">
      <c r="A66" s="878">
        <v>6</v>
      </c>
      <c r="B66" s="4037"/>
      <c r="C66" s="814" t="s">
        <v>625</v>
      </c>
      <c r="D66" s="814" t="s">
        <v>626</v>
      </c>
      <c r="E66" s="891">
        <v>0.3</v>
      </c>
      <c r="F66" s="878">
        <v>50</v>
      </c>
    </row>
    <row r="67" spans="1:6" s="874" customFormat="1" ht="36">
      <c r="A67" s="878">
        <v>7</v>
      </c>
      <c r="B67" s="4037"/>
      <c r="C67" s="814" t="s">
        <v>627</v>
      </c>
      <c r="D67" s="814" t="s">
        <v>628</v>
      </c>
      <c r="E67" s="891">
        <v>0.2</v>
      </c>
      <c r="F67" s="878">
        <v>30</v>
      </c>
    </row>
    <row r="68" spans="1:6" s="874" customFormat="1" ht="36">
      <c r="A68" s="878">
        <v>8</v>
      </c>
      <c r="B68" s="4037"/>
      <c r="C68" s="814" t="s">
        <v>629</v>
      </c>
      <c r="D68" s="814" t="s">
        <v>630</v>
      </c>
      <c r="E68" s="891">
        <v>0.2</v>
      </c>
      <c r="F68" s="878">
        <v>30</v>
      </c>
    </row>
    <row r="69" spans="1:6" s="874" customFormat="1" ht="36">
      <c r="A69" s="878">
        <v>9</v>
      </c>
      <c r="B69" s="4037"/>
      <c r="C69" s="814" t="s">
        <v>631</v>
      </c>
      <c r="D69" s="814" t="s">
        <v>632</v>
      </c>
      <c r="E69" s="891">
        <v>0.2</v>
      </c>
      <c r="F69" s="878">
        <v>30</v>
      </c>
    </row>
    <row r="70" spans="1:6" s="874" customFormat="1" ht="48">
      <c r="A70" s="878">
        <v>10</v>
      </c>
      <c r="B70" s="4037"/>
      <c r="C70" s="814" t="s">
        <v>633</v>
      </c>
      <c r="D70" s="814" t="s">
        <v>634</v>
      </c>
      <c r="E70" s="891">
        <v>0.2</v>
      </c>
      <c r="F70" s="878">
        <v>30</v>
      </c>
    </row>
    <row r="71" spans="1:6" s="874" customFormat="1" ht="48">
      <c r="A71" s="878">
        <v>11</v>
      </c>
      <c r="B71" s="4037"/>
      <c r="C71" s="814" t="s">
        <v>635</v>
      </c>
      <c r="D71" s="814" t="s">
        <v>636</v>
      </c>
      <c r="E71" s="891">
        <v>0.2</v>
      </c>
      <c r="F71" s="878">
        <v>30</v>
      </c>
    </row>
    <row r="72" spans="1:6" s="874" customFormat="1" ht="36">
      <c r="A72" s="878">
        <v>12</v>
      </c>
      <c r="B72" s="4037"/>
      <c r="C72" s="814" t="s">
        <v>637</v>
      </c>
      <c r="D72" s="814" t="s">
        <v>638</v>
      </c>
      <c r="E72" s="891">
        <v>0.5</v>
      </c>
      <c r="F72" s="878">
        <v>80</v>
      </c>
    </row>
    <row r="73" spans="1:6" s="874" customFormat="1" ht="24">
      <c r="A73" s="878">
        <v>13</v>
      </c>
      <c r="B73" s="4037"/>
      <c r="C73" s="814" t="s">
        <v>639</v>
      </c>
      <c r="D73" s="814" t="s">
        <v>640</v>
      </c>
      <c r="E73" s="891">
        <v>0.4</v>
      </c>
      <c r="F73" s="878">
        <v>60</v>
      </c>
    </row>
    <row r="74" spans="1:6" s="874" customFormat="1" ht="24">
      <c r="A74" s="878">
        <v>14</v>
      </c>
      <c r="B74" s="4037"/>
      <c r="C74" s="814" t="s">
        <v>641</v>
      </c>
      <c r="D74" s="814" t="s">
        <v>642</v>
      </c>
      <c r="E74" s="891">
        <v>0.2</v>
      </c>
      <c r="F74" s="878">
        <v>30</v>
      </c>
    </row>
    <row r="75" spans="1:6" s="874" customFormat="1" ht="24">
      <c r="A75" s="878">
        <v>15</v>
      </c>
      <c r="B75" s="4037"/>
      <c r="C75" s="814" t="s">
        <v>643</v>
      </c>
      <c r="D75" s="814" t="s">
        <v>644</v>
      </c>
      <c r="E75" s="891">
        <v>0.2</v>
      </c>
      <c r="F75" s="878">
        <v>30</v>
      </c>
    </row>
    <row r="76" spans="1:6" s="874" customFormat="1" ht="24">
      <c r="A76" s="878">
        <v>16</v>
      </c>
      <c r="B76" s="4037" t="s">
        <v>645</v>
      </c>
      <c r="C76" s="814" t="s">
        <v>646</v>
      </c>
      <c r="D76" s="814" t="s">
        <v>647</v>
      </c>
      <c r="E76" s="891">
        <v>0.5</v>
      </c>
      <c r="F76" s="878">
        <v>80</v>
      </c>
    </row>
    <row r="77" spans="1:6" s="874" customFormat="1" ht="24">
      <c r="A77" s="878">
        <v>17</v>
      </c>
      <c r="B77" s="4037"/>
      <c r="C77" s="814" t="s">
        <v>648</v>
      </c>
      <c r="D77" s="814" t="s">
        <v>649</v>
      </c>
      <c r="E77" s="891">
        <v>0.5</v>
      </c>
      <c r="F77" s="878">
        <v>80</v>
      </c>
    </row>
    <row r="78" spans="1:6" s="874" customFormat="1" ht="24">
      <c r="A78" s="878">
        <v>18</v>
      </c>
      <c r="B78" s="4037"/>
      <c r="C78" s="814" t="s">
        <v>650</v>
      </c>
      <c r="D78" s="814" t="s">
        <v>651</v>
      </c>
      <c r="E78" s="891">
        <v>0.2</v>
      </c>
      <c r="F78" s="878">
        <v>30</v>
      </c>
    </row>
    <row r="79" spans="1:6" s="874" customFormat="1" ht="24">
      <c r="A79" s="878">
        <v>19</v>
      </c>
      <c r="B79" s="4037"/>
      <c r="C79" s="814" t="s">
        <v>652</v>
      </c>
      <c r="D79" s="814" t="s">
        <v>653</v>
      </c>
      <c r="E79" s="891">
        <v>0.5</v>
      </c>
      <c r="F79" s="878">
        <v>80</v>
      </c>
    </row>
    <row r="80" spans="1:6" s="874" customFormat="1" ht="36">
      <c r="A80" s="878">
        <v>20</v>
      </c>
      <c r="B80" s="4037"/>
      <c r="C80" s="814" t="s">
        <v>654</v>
      </c>
      <c r="D80" s="814" t="s">
        <v>655</v>
      </c>
      <c r="E80" s="891">
        <v>0.2</v>
      </c>
      <c r="F80" s="878">
        <v>30</v>
      </c>
    </row>
    <row r="81" spans="1:6" s="874" customFormat="1" ht="36">
      <c r="A81" s="878">
        <v>21</v>
      </c>
      <c r="B81" s="4037"/>
      <c r="C81" s="814" t="s">
        <v>656</v>
      </c>
      <c r="D81" s="814" t="s">
        <v>657</v>
      </c>
      <c r="E81" s="891">
        <v>0.2</v>
      </c>
      <c r="F81" s="878">
        <v>30</v>
      </c>
    </row>
    <row r="82" spans="1:6" s="874" customFormat="1" ht="48">
      <c r="A82" s="878">
        <v>22</v>
      </c>
      <c r="B82" s="4037"/>
      <c r="C82" s="814" t="s">
        <v>658</v>
      </c>
      <c r="D82" s="814" t="s">
        <v>659</v>
      </c>
      <c r="E82" s="891">
        <v>0.2</v>
      </c>
      <c r="F82" s="878">
        <v>30</v>
      </c>
    </row>
    <row r="83" spans="1:6" s="874" customFormat="1" ht="48">
      <c r="A83" s="878">
        <v>23</v>
      </c>
      <c r="B83" s="4037"/>
      <c r="C83" s="814" t="s">
        <v>660</v>
      </c>
      <c r="D83" s="814" t="s">
        <v>661</v>
      </c>
      <c r="E83" s="891">
        <v>0.2</v>
      </c>
      <c r="F83" s="878">
        <v>30</v>
      </c>
    </row>
    <row r="84" spans="1:6" s="874" customFormat="1" ht="36">
      <c r="A84" s="878">
        <v>24</v>
      </c>
      <c r="B84" s="4037"/>
      <c r="C84" s="814" t="s">
        <v>662</v>
      </c>
      <c r="D84" s="814" t="s">
        <v>663</v>
      </c>
      <c r="E84" s="891">
        <v>0.2</v>
      </c>
      <c r="F84" s="878">
        <v>30</v>
      </c>
    </row>
    <row r="85" spans="1:6" s="874" customFormat="1" ht="36">
      <c r="A85" s="878">
        <v>25</v>
      </c>
      <c r="B85" s="4037"/>
      <c r="C85" s="814" t="s">
        <v>664</v>
      </c>
      <c r="D85" s="814" t="s">
        <v>665</v>
      </c>
      <c r="E85" s="891">
        <v>0.5</v>
      </c>
      <c r="F85" s="878">
        <v>80</v>
      </c>
    </row>
    <row r="86" spans="1:6" s="874" customFormat="1" ht="36">
      <c r="A86" s="878">
        <v>26</v>
      </c>
      <c r="B86" s="4037"/>
      <c r="C86" s="814" t="s">
        <v>666</v>
      </c>
      <c r="D86" s="814" t="s">
        <v>667</v>
      </c>
      <c r="E86" s="891">
        <v>0.2</v>
      </c>
      <c r="F86" s="878">
        <v>30</v>
      </c>
    </row>
    <row r="87" spans="1:6" s="874" customFormat="1" ht="36">
      <c r="A87" s="878">
        <v>27</v>
      </c>
      <c r="B87" s="4037"/>
      <c r="C87" s="814" t="s">
        <v>668</v>
      </c>
      <c r="D87" s="814" t="s">
        <v>669</v>
      </c>
      <c r="E87" s="891">
        <v>0.2</v>
      </c>
      <c r="F87" s="878">
        <v>30</v>
      </c>
    </row>
    <row r="88" spans="1:6" s="874" customFormat="1" ht="36">
      <c r="A88" s="878">
        <v>28</v>
      </c>
      <c r="B88" s="4037"/>
      <c r="C88" s="814" t="s">
        <v>670</v>
      </c>
      <c r="D88" s="814" t="s">
        <v>671</v>
      </c>
      <c r="E88" s="891">
        <v>0.2</v>
      </c>
      <c r="F88" s="878">
        <v>30</v>
      </c>
    </row>
    <row r="89" spans="1:6" s="874" customFormat="1" ht="24">
      <c r="A89" s="878">
        <v>29</v>
      </c>
      <c r="B89" s="4037"/>
      <c r="C89" s="814" t="s">
        <v>672</v>
      </c>
      <c r="D89" s="814" t="s">
        <v>673</v>
      </c>
      <c r="E89" s="891">
        <v>0.2</v>
      </c>
      <c r="F89" s="878">
        <v>30</v>
      </c>
    </row>
    <row r="90" spans="1:6" s="874" customFormat="1" ht="24">
      <c r="A90" s="878">
        <v>30</v>
      </c>
      <c r="B90" s="4037"/>
      <c r="C90" s="814" t="s">
        <v>674</v>
      </c>
      <c r="D90" s="814" t="s">
        <v>675</v>
      </c>
      <c r="E90" s="891">
        <v>0.2</v>
      </c>
      <c r="F90" s="878">
        <v>30</v>
      </c>
    </row>
    <row r="91" spans="1:6" s="874" customFormat="1" ht="36">
      <c r="A91" s="878">
        <v>31</v>
      </c>
      <c r="B91" s="4037"/>
      <c r="C91" s="814" t="s">
        <v>676</v>
      </c>
      <c r="D91" s="814" t="s">
        <v>677</v>
      </c>
      <c r="E91" s="891">
        <v>0.2</v>
      </c>
      <c r="F91" s="878">
        <v>30</v>
      </c>
    </row>
    <row r="92" spans="1:6" s="874" customFormat="1" ht="24">
      <c r="A92" s="878">
        <v>32</v>
      </c>
      <c r="B92" s="4037" t="s">
        <v>678</v>
      </c>
      <c r="C92" s="878" t="s">
        <v>679</v>
      </c>
      <c r="D92" s="814" t="s">
        <v>680</v>
      </c>
      <c r="E92" s="891">
        <v>0.2</v>
      </c>
      <c r="F92" s="878">
        <v>30</v>
      </c>
    </row>
    <row r="93" spans="1:6" s="874" customFormat="1" ht="36">
      <c r="A93" s="878">
        <v>33</v>
      </c>
      <c r="B93" s="4037"/>
      <c r="C93" s="878" t="s">
        <v>681</v>
      </c>
      <c r="D93" s="814" t="s">
        <v>682</v>
      </c>
      <c r="E93" s="891">
        <v>0.2</v>
      </c>
      <c r="F93" s="878">
        <v>30</v>
      </c>
    </row>
    <row r="94" spans="1:6" s="874" customFormat="1" ht="48">
      <c r="A94" s="878">
        <v>34</v>
      </c>
      <c r="B94" s="4037"/>
      <c r="C94" s="878" t="s">
        <v>683</v>
      </c>
      <c r="D94" s="814" t="s">
        <v>684</v>
      </c>
      <c r="E94" s="891">
        <v>0.2</v>
      </c>
      <c r="F94" s="878">
        <v>30</v>
      </c>
    </row>
    <row r="95" spans="1:6" s="874" customFormat="1" ht="36">
      <c r="A95" s="878">
        <v>35</v>
      </c>
      <c r="B95" s="4037"/>
      <c r="C95" s="878" t="s">
        <v>685</v>
      </c>
      <c r="D95" s="814" t="s">
        <v>686</v>
      </c>
      <c r="E95" s="891">
        <v>0.2</v>
      </c>
      <c r="F95" s="878">
        <v>30</v>
      </c>
    </row>
    <row r="96" spans="1:6" s="874" customFormat="1" ht="48">
      <c r="A96" s="878">
        <v>36</v>
      </c>
      <c r="B96" s="4037"/>
      <c r="C96" s="814" t="s">
        <v>687</v>
      </c>
      <c r="D96" s="814" t="s">
        <v>688</v>
      </c>
      <c r="E96" s="891">
        <v>0.2</v>
      </c>
      <c r="F96" s="878">
        <v>30</v>
      </c>
    </row>
    <row r="97" spans="1:6" s="874" customFormat="1" ht="36">
      <c r="A97" s="878">
        <v>37</v>
      </c>
      <c r="B97" s="4037"/>
      <c r="C97" s="878" t="s">
        <v>689</v>
      </c>
      <c r="D97" s="814" t="s">
        <v>690</v>
      </c>
      <c r="E97" s="891">
        <v>0.2</v>
      </c>
      <c r="F97" s="878">
        <v>30</v>
      </c>
    </row>
    <row r="98" spans="1:6" s="874" customFormat="1" ht="36">
      <c r="A98" s="878">
        <v>38</v>
      </c>
      <c r="B98" s="4037"/>
      <c r="C98" s="878" t="s">
        <v>691</v>
      </c>
      <c r="D98" s="814" t="s">
        <v>692</v>
      </c>
      <c r="E98" s="891">
        <v>0.2</v>
      </c>
      <c r="F98" s="878">
        <v>30</v>
      </c>
    </row>
    <row r="99" spans="1:6" s="874" customFormat="1" ht="36">
      <c r="A99" s="878">
        <v>39</v>
      </c>
      <c r="B99" s="4037" t="s">
        <v>693</v>
      </c>
      <c r="C99" s="878" t="s">
        <v>694</v>
      </c>
      <c r="D99" s="814" t="s">
        <v>695</v>
      </c>
      <c r="E99" s="891">
        <v>0.3</v>
      </c>
      <c r="F99" s="878">
        <v>50</v>
      </c>
    </row>
    <row r="100" spans="1:6" s="874" customFormat="1" ht="24">
      <c r="A100" s="878">
        <v>40</v>
      </c>
      <c r="B100" s="4037"/>
      <c r="C100" s="878" t="s">
        <v>696</v>
      </c>
      <c r="D100" s="814" t="s">
        <v>697</v>
      </c>
      <c r="E100" s="891">
        <v>0.2</v>
      </c>
      <c r="F100" s="878">
        <v>30</v>
      </c>
    </row>
    <row r="101" spans="1:6" s="874" customFormat="1" ht="36">
      <c r="A101" s="878">
        <v>41</v>
      </c>
      <c r="B101" s="403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4037" t="s">
        <v>708</v>
      </c>
      <c r="C105" s="878" t="s">
        <v>709</v>
      </c>
      <c r="D105" s="814" t="s">
        <v>710</v>
      </c>
      <c r="E105" s="891">
        <v>0.2</v>
      </c>
      <c r="F105" s="878">
        <v>30</v>
      </c>
    </row>
    <row r="106" spans="1:6" s="874" customFormat="1" ht="36">
      <c r="A106" s="878">
        <v>46</v>
      </c>
      <c r="B106" s="4037"/>
      <c r="C106" s="878" t="s">
        <v>711</v>
      </c>
      <c r="D106" s="814" t="s">
        <v>712</v>
      </c>
      <c r="E106" s="891">
        <v>0.2</v>
      </c>
      <c r="F106" s="878">
        <v>30</v>
      </c>
    </row>
    <row r="107" spans="1:6" s="874" customFormat="1" ht="36">
      <c r="A107" s="878">
        <v>47</v>
      </c>
      <c r="B107" s="4037" t="s">
        <v>713</v>
      </c>
      <c r="C107" s="878" t="s">
        <v>714</v>
      </c>
      <c r="D107" s="814" t="s">
        <v>715</v>
      </c>
      <c r="E107" s="891">
        <v>0.3</v>
      </c>
      <c r="F107" s="878">
        <v>50</v>
      </c>
    </row>
    <row r="108" spans="1:6" s="874" customFormat="1" ht="36">
      <c r="A108" s="878">
        <v>48</v>
      </c>
      <c r="B108" s="403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4037" t="s">
        <v>724</v>
      </c>
      <c r="C111" s="878" t="s">
        <v>725</v>
      </c>
      <c r="D111" s="814" t="s">
        <v>726</v>
      </c>
      <c r="E111" s="891">
        <v>0.2</v>
      </c>
      <c r="F111" s="878">
        <v>30</v>
      </c>
    </row>
    <row r="112" spans="1:6" s="874" customFormat="1" ht="24">
      <c r="A112" s="878">
        <v>52</v>
      </c>
      <c r="B112" s="4037"/>
      <c r="C112" s="878" t="s">
        <v>727</v>
      </c>
      <c r="D112" s="814" t="s">
        <v>728</v>
      </c>
      <c r="E112" s="891">
        <v>0.2</v>
      </c>
      <c r="F112" s="878">
        <v>30</v>
      </c>
    </row>
    <row r="113" spans="1:6" s="874" customFormat="1" ht="24">
      <c r="A113" s="878">
        <v>53</v>
      </c>
      <c r="B113" s="403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4037" t="s">
        <v>737</v>
      </c>
      <c r="C116" s="878" t="s">
        <v>738</v>
      </c>
      <c r="D116" s="814" t="s">
        <v>739</v>
      </c>
      <c r="E116" s="891">
        <v>0.2</v>
      </c>
      <c r="F116" s="878">
        <v>30</v>
      </c>
    </row>
    <row r="117" spans="1:6" ht="36">
      <c r="A117" s="878">
        <v>57</v>
      </c>
      <c r="B117" s="403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0.81359999999999999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9273</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9273</v>
      </c>
      <c r="C6" s="2909" t="s">
        <v>2996</v>
      </c>
      <c r="D6" s="2911"/>
      <c r="E6" s="2574">
        <f ca="1">SUMIF(INDIRECT("'"&amp;A6&amp;"'"&amp;"!C:C"),"建筑面积",INDIRECT("'"&amp;A6&amp;"'"&amp;"!D:D"))</f>
        <v>11000.49</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43" t="s">
        <v>1150</v>
      </c>
      <c r="C1" s="4043"/>
      <c r="D1" s="4043"/>
      <c r="E1" s="4043"/>
      <c r="F1" s="4043"/>
      <c r="G1" s="4042" t="s">
        <v>1151</v>
      </c>
      <c r="H1" s="4042"/>
      <c r="I1" s="4042"/>
      <c r="J1" s="4042"/>
      <c r="K1" s="4042"/>
      <c r="L1" s="4042"/>
      <c r="N1" s="4042" t="s">
        <v>1152</v>
      </c>
      <c r="O1" s="4042"/>
      <c r="P1" s="4042"/>
      <c r="Q1" s="4042"/>
      <c r="R1" s="1445"/>
      <c r="S1" s="4042" t="s">
        <v>1153</v>
      </c>
      <c r="T1" s="4042"/>
      <c r="U1" s="4042"/>
      <c r="V1" s="4042"/>
      <c r="X1" s="4041" t="s">
        <v>1154</v>
      </c>
      <c r="Y1" s="4042"/>
      <c r="Z1" s="4042"/>
      <c r="AA1" s="4042"/>
      <c r="AB1" s="4042"/>
      <c r="AD1" s="4041" t="s">
        <v>1155</v>
      </c>
      <c r="AE1" s="4042"/>
      <c r="AF1" s="4042"/>
      <c r="AG1" s="4042"/>
      <c r="AH1" s="4042"/>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3038</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2"/>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1"/>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44">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4039"/>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4039"/>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4040"/>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4038">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4039"/>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4039"/>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4040"/>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4038">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4039"/>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4039"/>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4040"/>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4045">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4046"/>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4046"/>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4047"/>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4038">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4039"/>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4039"/>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4040"/>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4038">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4039">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4039">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4040">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4038">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4039">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4039">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4040">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4038">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4039">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4039">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4040">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4038">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4039">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4039">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4040">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4038">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4039">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4039">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4040">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4038">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4039">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4039">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4040">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4038">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4039">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4039">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4040">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4038">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4039">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4039">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4040">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403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4039">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4039">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404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403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4039">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4039">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4040">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9" t="s">
        <v>3006</v>
      </c>
      <c r="D1" s="4050"/>
      <c r="E1" s="4050"/>
      <c r="F1" s="4050"/>
      <c r="G1" s="4050"/>
      <c r="H1" s="4050"/>
      <c r="I1" s="4050"/>
      <c r="J1" s="4050"/>
      <c r="K1" s="4050"/>
      <c r="L1" s="4050"/>
      <c r="M1" s="4050"/>
      <c r="N1" s="4050"/>
      <c r="O1" s="4050"/>
      <c r="P1" s="4050"/>
      <c r="Q1" s="4050"/>
      <c r="R1" s="4050"/>
      <c r="S1" s="4051"/>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41" t="s">
        <v>33</v>
      </c>
      <c r="D22" s="3842"/>
      <c r="E22" s="3842"/>
      <c r="F22" s="3842"/>
      <c r="G22" s="3842"/>
      <c r="H22" s="3842"/>
      <c r="I22" s="3842"/>
      <c r="J22" s="3842"/>
      <c r="K22" s="3842"/>
      <c r="L22" s="3842"/>
      <c r="M22" s="3842"/>
      <c r="N22" s="3842"/>
      <c r="O22" s="3842"/>
      <c r="P22" s="3842"/>
      <c r="Q22" s="40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28565</v>
      </c>
      <c r="C2" s="2" t="s">
        <v>133</v>
      </c>
      <c r="D2" s="243"/>
      <c r="E2" s="243"/>
      <c r="F2" s="243"/>
      <c r="G2" s="243"/>
    </row>
    <row r="3" spans="1:7" s="244" customFormat="1" ht="18" customHeight="1" thickBot="1">
      <c r="A3" s="247" t="s">
        <v>85</v>
      </c>
      <c r="B3" s="248">
        <f ca="1">ROUND(B2*10000/'数据-汇总表'!E3,0)</f>
        <v>25967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200</v>
      </c>
      <c r="F9" s="265"/>
      <c r="G9" s="270"/>
    </row>
    <row r="10" spans="1:7" s="258" customFormat="1" ht="13.5" customHeight="1">
      <c r="A10" s="949" t="s">
        <v>801</v>
      </c>
      <c r="B10" s="268" t="s">
        <v>94</v>
      </c>
      <c r="C10" s="269">
        <f>ROUND(D10*E10/10000,0)</f>
        <v>0</v>
      </c>
      <c r="D10" s="1031">
        <f>'数据-汇总表'!E6</f>
        <v>11000.49</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220</v>
      </c>
      <c r="D19" s="1035">
        <f>'数据-汇总表'!E3</f>
        <v>11000.49</v>
      </c>
      <c r="E19" s="255">
        <f>'数据-取费表'!B31</f>
        <v>200</v>
      </c>
      <c r="F19" s="275"/>
      <c r="G19" s="1" t="s">
        <v>1074</v>
      </c>
    </row>
    <row r="20" spans="1:7" s="258" customFormat="1" ht="13.5" customHeight="1">
      <c r="A20" s="947" t="s">
        <v>1057</v>
      </c>
      <c r="B20" s="254" t="s">
        <v>104</v>
      </c>
      <c r="C20" s="276">
        <f>ROUND((C5+C19)*F20,0)</f>
        <v>625</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1842</v>
      </c>
      <c r="D22" s="279">
        <f ca="1">C26</f>
        <v>1.2999999999999999E-3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1796</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19</v>
      </c>
      <c r="D24" s="282"/>
      <c r="E24" s="282"/>
      <c r="F24" s="283"/>
      <c r="G24" s="284" t="s">
        <v>109</v>
      </c>
    </row>
    <row r="25" spans="1:7" s="258" customFormat="1" ht="24">
      <c r="A25" s="950" t="s">
        <v>793</v>
      </c>
      <c r="B25" s="259" t="s">
        <v>1058</v>
      </c>
      <c r="C25" s="1354">
        <f ca="1">ROUND(IF('数据-取费表'!B22&lt;=1,C20*F22*'数据-取费表'!B23/2,C20*(POWER((1+F22),'数据-取费表'!B23/2)-1)),0)</f>
        <v>27</v>
      </c>
      <c r="D25" s="282"/>
      <c r="E25" s="285"/>
      <c r="F25" s="283"/>
      <c r="G25" s="286" t="s">
        <v>110</v>
      </c>
    </row>
    <row r="26" spans="1:7" s="258" customFormat="1">
      <c r="A26" s="950" t="s">
        <v>795</v>
      </c>
      <c r="B26" s="259" t="s">
        <v>1060</v>
      </c>
      <c r="C26" s="282">
        <f ca="1">ROUND(IF('数据-取费表'!B22&lt;=1,F21*F22*'数据-取费表'!B23/2,F21*(POWER((1+F22),'数据-取费表'!B23/2)-1)),4)</f>
        <v>1.2999999999999999E-3</v>
      </c>
      <c r="D26" s="282"/>
      <c r="E26" s="285"/>
      <c r="F26" s="283"/>
      <c r="G26" s="287"/>
    </row>
    <row r="27" spans="1:7" s="258" customFormat="1" ht="24.75">
      <c r="A27" s="947" t="s">
        <v>787</v>
      </c>
      <c r="B27" s="288" t="s">
        <v>112</v>
      </c>
      <c r="C27" s="289">
        <f>C28</f>
        <v>193</v>
      </c>
      <c r="D27" s="279">
        <f>C29</f>
        <v>2.9999999999999997E-4</v>
      </c>
      <c r="E27" s="280" t="s">
        <v>126</v>
      </c>
      <c r="F27" s="290">
        <f>'数据-取费表'!Q16</f>
        <v>0.01</v>
      </c>
      <c r="G27" s="291" t="s">
        <v>1069</v>
      </c>
    </row>
    <row r="28" spans="1:7" s="258" customFormat="1" ht="13.5" customHeight="1">
      <c r="A28" s="950" t="s">
        <v>794</v>
      </c>
      <c r="B28" s="292" t="s">
        <v>1062</v>
      </c>
      <c r="C28" s="293">
        <f>ROUND((C5+C19+C20)*F27*'数据-取费表'!B21/'数据-取费表'!B20,0)</f>
        <v>193</v>
      </c>
      <c r="D28" s="279"/>
      <c r="E28" s="280"/>
      <c r="F28" s="290"/>
      <c r="G28" s="291"/>
    </row>
    <row r="29" spans="1:7" s="258" customFormat="1" ht="13.5" customHeight="1">
      <c r="A29" s="950" t="s">
        <v>792</v>
      </c>
      <c r="B29" s="292" t="s">
        <v>1063</v>
      </c>
      <c r="C29" s="282">
        <f>ROUND(C21*F27*'数据-取费表'!B21/'数据-取费表'!B20,4)</f>
        <v>2.9999999999999997E-4</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2469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2156</v>
      </c>
      <c r="D34" s="261"/>
      <c r="E34" s="264"/>
      <c r="F34" s="301">
        <f>IF('数据-取费表'!B24=0,1,'数据-取费表'!N16)</f>
        <v>0.98</v>
      </c>
      <c r="G34" s="263" t="s">
        <v>116</v>
      </c>
    </row>
    <row r="35" spans="1:7" ht="13.5" customHeight="1">
      <c r="A35" s="950" t="s">
        <v>796</v>
      </c>
      <c r="B35" s="259" t="s">
        <v>60</v>
      </c>
      <c r="C35" s="264">
        <f>ROUND(C34*F35,0)</f>
        <v>65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216</v>
      </c>
      <c r="D37" s="261">
        <f>'数据-汇总表'!E3</f>
        <v>11000.49</v>
      </c>
      <c r="E37" s="293">
        <f>'数据-取费表'!B35</f>
        <v>200</v>
      </c>
      <c r="F37" s="303"/>
      <c r="G37" s="305" t="s">
        <v>119</v>
      </c>
    </row>
    <row r="38" spans="1:7" ht="13.5" customHeight="1">
      <c r="A38" s="950" t="s">
        <v>799</v>
      </c>
      <c r="B38" s="259" t="s">
        <v>63</v>
      </c>
      <c r="C38" s="264">
        <f>ROUND(C34*F38,0)</f>
        <v>32</v>
      </c>
      <c r="D38" s="264"/>
      <c r="E38" s="264"/>
      <c r="F38" s="303">
        <f>'数据-取费表'!B36</f>
        <v>1.4999999999999999E-2</v>
      </c>
      <c r="G38" s="263" t="s">
        <v>117</v>
      </c>
    </row>
    <row r="39" spans="1:7" s="258" customFormat="1" ht="13.5" customHeight="1">
      <c r="A39" s="947" t="s">
        <v>783</v>
      </c>
      <c r="B39" s="254" t="s">
        <v>104</v>
      </c>
      <c r="C39" s="276">
        <f>ROUND(C33*F20,0)</f>
        <v>74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108</v>
      </c>
      <c r="D41" s="279">
        <f ca="1">C44</f>
        <v>1.2999999999999999E-3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105</v>
      </c>
      <c r="D42" s="282"/>
      <c r="E42" s="282"/>
      <c r="F42" s="283"/>
      <c r="G42" s="3897" t="s">
        <v>121</v>
      </c>
    </row>
    <row r="43" spans="1:7" ht="13.5" customHeight="1">
      <c r="A43" s="950" t="s">
        <v>792</v>
      </c>
      <c r="B43" s="259" t="s">
        <v>1064</v>
      </c>
      <c r="C43" s="282">
        <f ca="1">ROUND(IF('数据-取费表'!B22&lt;=1,C39*F22*'数据-取费表'!B21/2,C39*(POWER((1+F22),'数据-取费表'!B21/2)-1)),0)</f>
        <v>3</v>
      </c>
      <c r="D43" s="282"/>
      <c r="E43" s="282"/>
      <c r="F43" s="283"/>
      <c r="G43" s="3898"/>
    </row>
    <row r="44" spans="1:7" ht="13.5" customHeight="1">
      <c r="A44" s="950" t="s">
        <v>793</v>
      </c>
      <c r="B44" s="259" t="s">
        <v>1066</v>
      </c>
      <c r="C44" s="282">
        <f ca="1">ROUND(IF('数据-取费表'!B22&lt;=1,C40*F22*'数据-取费表'!B21/2,C40*(POWER((1+F22),'数据-取费表'!B21/2)-1)),4)</f>
        <v>1.2999999999999999E-3</v>
      </c>
      <c r="D44" s="282"/>
      <c r="E44" s="282"/>
      <c r="F44" s="283"/>
      <c r="G44" s="3899"/>
    </row>
    <row r="45" spans="1:7" s="258" customFormat="1" ht="13.5" customHeight="1">
      <c r="A45" s="947" t="s">
        <v>786</v>
      </c>
      <c r="B45" s="288" t="s">
        <v>112</v>
      </c>
      <c r="C45" s="289">
        <f>C46</f>
        <v>25</v>
      </c>
      <c r="D45" s="279">
        <f>C47</f>
        <v>2.9999999999999997E-4</v>
      </c>
      <c r="E45" s="280" t="s">
        <v>129</v>
      </c>
      <c r="F45" s="290"/>
      <c r="G45" s="291" t="s">
        <v>1072</v>
      </c>
    </row>
    <row r="46" spans="1:7" s="258" customFormat="1" ht="13.5" customHeight="1">
      <c r="A46" s="950" t="s">
        <v>794</v>
      </c>
      <c r="B46" s="292" t="s">
        <v>1065</v>
      </c>
      <c r="C46" s="293">
        <f>ROUND((C33+C39)*F27,0)</f>
        <v>25</v>
      </c>
      <c r="D46" s="307"/>
      <c r="E46" s="280"/>
      <c r="F46" s="290"/>
      <c r="G46" s="291"/>
    </row>
    <row r="47" spans="1:7" s="258" customFormat="1" ht="13.5" customHeight="1">
      <c r="A47" s="950" t="s">
        <v>792</v>
      </c>
      <c r="B47" s="292" t="s">
        <v>1067</v>
      </c>
      <c r="C47" s="282">
        <f>ROUND(C40*F27,4)</f>
        <v>2.9999999999999997E-4</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2921</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2921</v>
      </c>
      <c r="D51" s="276"/>
      <c r="E51" s="276"/>
      <c r="F51" s="308"/>
      <c r="G51" s="278" t="s">
        <v>64</v>
      </c>
    </row>
    <row r="52" spans="1:7" s="252" customFormat="1" ht="16.5" thickBot="1">
      <c r="A52" s="309" t="s">
        <v>65</v>
      </c>
      <c r="B52" s="310"/>
      <c r="C52" s="311">
        <f ca="1">C31+C51</f>
        <v>28565</v>
      </c>
      <c r="D52" s="310"/>
      <c r="E52" s="310"/>
      <c r="F52" s="310"/>
      <c r="G52" s="312"/>
    </row>
    <row r="55" spans="1:7" ht="15">
      <c r="B55" s="314" t="s">
        <v>66</v>
      </c>
      <c r="C55" s="315"/>
    </row>
    <row r="56" spans="1:7">
      <c r="B56" s="317" t="s">
        <v>67</v>
      </c>
      <c r="C56" s="318">
        <f ca="1">ROUND(C51/C52,3)</f>
        <v>0.10199999999999999</v>
      </c>
    </row>
    <row r="57" spans="1:7">
      <c r="B57" s="317" t="s">
        <v>68</v>
      </c>
      <c r="C57" s="319">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52" t="s">
        <v>156</v>
      </c>
      <c r="B1" s="4052"/>
      <c r="C1" s="4052"/>
      <c r="D1" s="4052"/>
      <c r="E1" s="4052"/>
      <c r="F1" s="40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53" t="s">
        <v>169</v>
      </c>
      <c r="B2" s="4053"/>
      <c r="C2" s="4053"/>
      <c r="D2" s="4053"/>
      <c r="E2" s="4053"/>
      <c r="F2" s="40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4052" t="s">
        <v>871</v>
      </c>
      <c r="B1" s="40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80" t="str">
        <f>IF(项目基本情况!B9="房地产市场价值","估价结果一览表","结果表-2")</f>
        <v>结果表-2</v>
      </c>
      <c r="B1" s="3680"/>
      <c r="C1" s="3680"/>
      <c r="D1" s="3680"/>
      <c r="E1" s="3680"/>
      <c r="F1" s="3680"/>
      <c r="G1" s="3680"/>
      <c r="H1" s="3680"/>
      <c r="I1" s="3680"/>
    </row>
    <row r="2" spans="1:9" ht="30" customHeight="1" thickTop="1">
      <c r="A2" s="3681" t="s">
        <v>1643</v>
      </c>
      <c r="B2" s="3681" t="s">
        <v>1644</v>
      </c>
      <c r="C2" s="3681" t="s">
        <v>1645</v>
      </c>
      <c r="D2" s="3681" t="str">
        <f>结果表!D116</f>
        <v>出让国有建设用地使用权价值</v>
      </c>
      <c r="E2" s="3681"/>
      <c r="F2" s="3681" t="str">
        <f>结果表!F116</f>
        <v>在建建筑物价值</v>
      </c>
      <c r="G2" s="3681"/>
      <c r="H2" s="3681" t="str">
        <f>IF(项目基本情况!B9="房地产市场价值","房地产市场价值","房地产价值")</f>
        <v>房地产价值</v>
      </c>
      <c r="I2" s="3681"/>
    </row>
    <row r="3" spans="1:9" ht="15">
      <c r="A3" s="3675"/>
      <c r="B3" s="3675"/>
      <c r="C3" s="3675"/>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11000.49</v>
      </c>
      <c r="C4" s="1043">
        <f>项目基本情况!C18</f>
        <v>2087.48</v>
      </c>
      <c r="D4" s="1043" t="e">
        <f ca="1">结果表!D118</f>
        <v>#REF!</v>
      </c>
      <c r="E4" s="1043" t="e">
        <f ca="1">结果表!E118</f>
        <v>#REF!</v>
      </c>
      <c r="F4" s="1043" t="e">
        <f ca="1">结果表!F118</f>
        <v>#REF!</v>
      </c>
      <c r="G4" s="1043" t="e">
        <f ca="1">结果表!G118</f>
        <v>#REF!</v>
      </c>
      <c r="H4" s="1043" t="e">
        <f ca="1">结果表!H118</f>
        <v>#REF!</v>
      </c>
      <c r="I4" s="1043" t="e">
        <f ca="1">结果表!I118</f>
        <v>#REF!</v>
      </c>
    </row>
    <row r="5" spans="1:9" ht="30" customHeight="1">
      <c r="A5" s="3675" t="s">
        <v>1642</v>
      </c>
      <c r="B5" s="3675"/>
      <c r="C5" s="3675"/>
      <c r="D5" s="3676" t="e">
        <f ca="1">结果表!D119</f>
        <v>#REF!</v>
      </c>
      <c r="E5" s="3676"/>
      <c r="F5" s="3676" t="e">
        <f ca="1">结果表!F119</f>
        <v>#REF!</v>
      </c>
      <c r="G5" s="3676"/>
      <c r="H5" s="3676" t="e">
        <f ca="1">结果表!H119</f>
        <v>#REF!</v>
      </c>
      <c r="I5" s="3676"/>
    </row>
    <row r="6" spans="1:9" ht="15.75">
      <c r="A6" s="3674" t="str">
        <f>结果表!A120</f>
        <v>估价师知悉的法定优先受偿款</v>
      </c>
      <c r="B6" s="3674"/>
      <c r="C6" s="3674"/>
      <c r="D6" s="3674">
        <f>结果表!D120</f>
        <v>0</v>
      </c>
      <c r="E6" s="3674"/>
      <c r="F6" s="3674"/>
      <c r="G6" s="3674"/>
      <c r="H6" s="3674"/>
      <c r="I6" s="3674"/>
    </row>
    <row r="7" spans="1:9" ht="15">
      <c r="A7" s="3675" t="s">
        <v>1642</v>
      </c>
      <c r="B7" s="3675"/>
      <c r="C7" s="3675"/>
      <c r="D7" s="3677" t="str">
        <f>结果表!D121</f>
        <v>零元整</v>
      </c>
      <c r="E7" s="3678"/>
      <c r="F7" s="3678"/>
      <c r="G7" s="3678"/>
      <c r="H7" s="3678"/>
      <c r="I7" s="3679"/>
    </row>
    <row r="8" spans="1:9" ht="15.75">
      <c r="A8" s="3674" t="str">
        <f>结果表!A122</f>
        <v>房地产抵押价值</v>
      </c>
      <c r="B8" s="3674"/>
      <c r="C8" s="3674"/>
      <c r="D8" s="3674" t="e">
        <f ca="1">结果表!D122</f>
        <v>#REF!</v>
      </c>
      <c r="E8" s="3674"/>
      <c r="F8" s="3674"/>
      <c r="G8" s="3674"/>
      <c r="H8" s="3674"/>
      <c r="I8" s="3674"/>
    </row>
    <row r="9" spans="1:9" ht="15">
      <c r="A9" s="3675" t="s">
        <v>1642</v>
      </c>
      <c r="B9" s="3675"/>
      <c r="C9" s="3675"/>
      <c r="D9" s="3676" t="e">
        <f ca="1">结果表!D123</f>
        <v>#REF!</v>
      </c>
      <c r="E9" s="3676"/>
      <c r="F9" s="3676"/>
      <c r="G9" s="3676"/>
      <c r="H9" s="3676"/>
      <c r="I9" s="3676"/>
    </row>
    <row r="10" spans="1:9" ht="15.75">
      <c r="A10" s="3674" t="str">
        <f>结果表!A124</f>
        <v/>
      </c>
      <c r="B10" s="3674"/>
      <c r="C10" s="3674"/>
      <c r="D10" s="3674" t="str">
        <f>结果表!D124</f>
        <v>——</v>
      </c>
      <c r="E10" s="3674"/>
      <c r="F10" s="3674"/>
      <c r="G10" s="3674"/>
      <c r="H10" s="3674"/>
      <c r="I10" s="3674"/>
    </row>
    <row r="11" spans="1:9" ht="15">
      <c r="A11" s="3675" t="s">
        <v>1642</v>
      </c>
      <c r="B11" s="3675"/>
      <c r="C11" s="3675"/>
      <c r="D11" s="3676" t="e">
        <f>结果表!D125</f>
        <v>#VALUE!</v>
      </c>
      <c r="E11" s="3676"/>
      <c r="F11" s="3676"/>
      <c r="G11" s="3676"/>
      <c r="H11" s="3676"/>
      <c r="I11" s="3676"/>
    </row>
    <row r="12" spans="1:9" ht="15.75">
      <c r="A12" s="3674" t="str">
        <f>结果表!A126</f>
        <v/>
      </c>
      <c r="B12" s="3674"/>
      <c r="C12" s="3674"/>
      <c r="D12" s="3674" t="str">
        <f>结果表!D126</f>
        <v>——</v>
      </c>
      <c r="E12" s="3674"/>
      <c r="F12" s="3674"/>
      <c r="G12" s="3674"/>
      <c r="H12" s="3674"/>
      <c r="I12" s="3674"/>
    </row>
    <row r="13" spans="1:9" ht="15.75" thickBot="1">
      <c r="A13" s="3671" t="s">
        <v>1642</v>
      </c>
      <c r="B13" s="3671"/>
      <c r="C13" s="3671"/>
      <c r="D13" s="3672" t="e">
        <f>结果表!D127</f>
        <v>#VALUE!</v>
      </c>
      <c r="E13" s="3672"/>
      <c r="F13" s="3672"/>
      <c r="G13" s="3672"/>
      <c r="H13" s="3672"/>
      <c r="I13" s="3672"/>
    </row>
    <row r="14" spans="1:9" ht="15" thickTop="1">
      <c r="A14" s="3673" t="s">
        <v>1647</v>
      </c>
      <c r="B14" s="3673"/>
      <c r="C14" s="3673"/>
      <c r="D14" s="3673"/>
      <c r="E14" s="3673"/>
      <c r="F14" s="3673"/>
      <c r="G14" s="3673"/>
      <c r="H14" s="3673"/>
      <c r="I14" s="3673"/>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1" workbookViewId="0">
      <selection activeCell="T18" sqref="T18"/>
    </sheetView>
  </sheetViews>
  <sheetFormatPr defaultRowHeight="13.5"/>
  <cols>
    <col min="1" max="7" width="0" style="3282" hidden="1" customWidth="1"/>
    <col min="8" max="9" width="0" hidden="1" customWidth="1"/>
    <col min="10" max="10" width="13" customWidth="1"/>
    <col min="11" max="11" width="0" hidden="1" customWidth="1"/>
    <col min="12" max="12" width="12.125" customWidth="1"/>
  </cols>
  <sheetData>
    <row r="1" spans="1:22">
      <c r="A1" s="3282" t="s">
        <v>3628</v>
      </c>
      <c r="J1" s="4057" t="s">
        <v>3659</v>
      </c>
      <c r="K1" s="4058"/>
      <c r="L1" s="4058"/>
      <c r="M1" s="4059"/>
      <c r="Q1" s="4060" t="s">
        <v>3813</v>
      </c>
      <c r="R1" s="4061"/>
      <c r="S1" s="4061"/>
      <c r="T1" s="4061"/>
      <c r="U1" s="4062"/>
    </row>
    <row r="2" spans="1:22">
      <c r="A2" s="3282" t="s">
        <v>3279</v>
      </c>
      <c r="B2" s="3282" t="s">
        <v>3629</v>
      </c>
      <c r="C2" s="3282" t="s">
        <v>3280</v>
      </c>
      <c r="G2" s="3282" t="s">
        <v>3630</v>
      </c>
      <c r="J2" s="3286" t="s">
        <v>3636</v>
      </c>
      <c r="K2" s="3286"/>
      <c r="L2" s="3287" t="s">
        <v>3637</v>
      </c>
      <c r="M2" s="3286" t="s">
        <v>3647</v>
      </c>
      <c r="Q2" s="3286" t="s">
        <v>3814</v>
      </c>
      <c r="R2" s="3286" t="s">
        <v>3815</v>
      </c>
      <c r="S2" s="3286" t="s">
        <v>3816</v>
      </c>
      <c r="T2" s="3286" t="s">
        <v>3820</v>
      </c>
      <c r="U2" s="3286" t="s">
        <v>3821</v>
      </c>
    </row>
    <row r="3" spans="1:22">
      <c r="C3" s="3282" t="s">
        <v>3631</v>
      </c>
      <c r="D3" s="3282" t="s">
        <v>3632</v>
      </c>
      <c r="E3" s="3282" t="s">
        <v>3633</v>
      </c>
      <c r="J3" s="3286" t="s">
        <v>3638</v>
      </c>
      <c r="K3" s="3285"/>
      <c r="L3" s="3285">
        <f>SUM(B6:B16)</f>
        <v>1139.27</v>
      </c>
      <c r="M3" s="3288" t="s">
        <v>3648</v>
      </c>
      <c r="Q3" s="3286" t="s">
        <v>3642</v>
      </c>
      <c r="R3" s="3285">
        <v>1</v>
      </c>
      <c r="S3" s="3285">
        <f>'比较法-商业'!C49</f>
        <v>56894</v>
      </c>
      <c r="T3" s="3285">
        <f>L272</f>
        <v>1120.93</v>
      </c>
      <c r="U3" s="3285">
        <f>ROUND(T3*S3/10000,0)</f>
        <v>6377</v>
      </c>
    </row>
    <row r="4" spans="1:22">
      <c r="G4" s="3282" t="s">
        <v>3281</v>
      </c>
      <c r="J4" s="3286" t="s">
        <v>3639</v>
      </c>
      <c r="K4" s="3285"/>
      <c r="L4" s="3285">
        <f>SUM(B18:B27)</f>
        <v>1205.2099999999998</v>
      </c>
      <c r="M4" s="3288" t="s">
        <v>3648</v>
      </c>
      <c r="Q4" s="3286" t="s">
        <v>3817</v>
      </c>
      <c r="R4" s="3285">
        <v>0.5</v>
      </c>
      <c r="S4" s="3285">
        <f>ROUND(S3*R4,0)</f>
        <v>28447</v>
      </c>
      <c r="T4" s="3285">
        <f>L273-L267-L268</f>
        <v>3957.1499999999992</v>
      </c>
      <c r="U4" s="3285">
        <f t="shared" ref="U4:U6" si="0">ROUND(T4*S4/10000,0)</f>
        <v>11257</v>
      </c>
    </row>
    <row r="5" spans="1:22">
      <c r="A5" s="3282" t="s">
        <v>3282</v>
      </c>
      <c r="J5" s="3286" t="s">
        <v>3640</v>
      </c>
      <c r="K5" s="3285"/>
      <c r="L5" s="3285">
        <f>B29</f>
        <v>3957.15</v>
      </c>
      <c r="M5" s="3290" t="s">
        <v>3649</v>
      </c>
      <c r="Q5" s="3286" t="s">
        <v>3818</v>
      </c>
      <c r="R5" s="3285">
        <v>0.6</v>
      </c>
      <c r="S5" s="3285">
        <f>ROUND(S3*R5,0)</f>
        <v>34136</v>
      </c>
      <c r="T5" s="3285">
        <f>L267</f>
        <v>375.02</v>
      </c>
      <c r="U5" s="3285">
        <f t="shared" si="0"/>
        <v>1280</v>
      </c>
    </row>
    <row r="6" spans="1:22">
      <c r="A6" s="3282" t="s">
        <v>3283</v>
      </c>
      <c r="B6" s="3282">
        <v>147.21</v>
      </c>
      <c r="C6" s="3282" t="s">
        <v>3284</v>
      </c>
      <c r="E6" s="3282" t="s">
        <v>3285</v>
      </c>
      <c r="G6" s="3282">
        <v>0.559643</v>
      </c>
      <c r="J6" s="3286" t="s">
        <v>3642</v>
      </c>
      <c r="K6" s="3285"/>
      <c r="L6" s="3285">
        <f>SUM(B31:B34)+SUM(B42:B43)</f>
        <v>1120.93</v>
      </c>
      <c r="M6" s="3290" t="s">
        <v>3650</v>
      </c>
      <c r="Q6" s="3286" t="s">
        <v>3819</v>
      </c>
      <c r="R6" s="3285">
        <f>R5</f>
        <v>0.6</v>
      </c>
      <c r="S6" s="3285">
        <f>ROUND(S3*R6,0)</f>
        <v>34136</v>
      </c>
      <c r="T6" s="3285">
        <f>L268</f>
        <v>3484.15</v>
      </c>
      <c r="U6" s="3285">
        <f t="shared" si="0"/>
        <v>11893</v>
      </c>
    </row>
    <row r="7" spans="1:22">
      <c r="A7" s="3282" t="s">
        <v>3286</v>
      </c>
      <c r="B7" s="3282">
        <v>343.03</v>
      </c>
      <c r="C7" s="3282" t="s">
        <v>3287</v>
      </c>
      <c r="E7" s="3282" t="s">
        <v>3288</v>
      </c>
      <c r="J7" s="3286" t="str">
        <f>A44</f>
        <v>01夹层(00)</v>
      </c>
      <c r="K7" s="3285"/>
      <c r="L7" s="3285">
        <f>B45+B46</f>
        <v>954.47</v>
      </c>
      <c r="M7" s="3289" t="s">
        <v>3651</v>
      </c>
      <c r="Q7" s="4063" t="s">
        <v>3658</v>
      </c>
      <c r="R7" s="4064"/>
      <c r="S7" s="4065"/>
      <c r="T7" s="3587">
        <f>T3+T4+T5+T6</f>
        <v>8937.2499999999982</v>
      </c>
      <c r="U7" s="3587">
        <f>U3+U4+U5+U6</f>
        <v>30807</v>
      </c>
      <c r="V7">
        <f>U7/T7*10000</f>
        <v>34470.33483454083</v>
      </c>
    </row>
    <row r="8" spans="1:22">
      <c r="A8" s="3282" t="s">
        <v>3289</v>
      </c>
      <c r="B8" s="3282">
        <v>54.93</v>
      </c>
      <c r="C8" s="3282" t="s">
        <v>3290</v>
      </c>
      <c r="E8" s="3282" t="s">
        <v>3291</v>
      </c>
      <c r="J8" s="3286" t="str">
        <f>A47</f>
        <v>2层(02)</v>
      </c>
      <c r="K8" s="3285"/>
      <c r="L8" s="3285">
        <f>SUM(B48:B57)</f>
        <v>1696.3400000000001</v>
      </c>
      <c r="M8" s="3289" t="s">
        <v>3651</v>
      </c>
    </row>
    <row r="9" spans="1:22">
      <c r="A9" s="3282" t="s">
        <v>3292</v>
      </c>
      <c r="B9" s="3282">
        <v>51.92</v>
      </c>
      <c r="C9" s="3282" t="s">
        <v>3293</v>
      </c>
      <c r="E9" s="3282" t="s">
        <v>3294</v>
      </c>
      <c r="J9" s="3286" t="str">
        <f>A58</f>
        <v>3层(03)</v>
      </c>
      <c r="K9" s="3285"/>
      <c r="L9" s="3285">
        <f>SUM(B59:B68)</f>
        <v>1696.3400000000001</v>
      </c>
      <c r="M9" s="3289" t="s">
        <v>3651</v>
      </c>
    </row>
    <row r="10" spans="1:22">
      <c r="A10" s="3282" t="s">
        <v>3295</v>
      </c>
      <c r="B10" s="3282">
        <v>51.92</v>
      </c>
      <c r="C10" s="3282" t="s">
        <v>3293</v>
      </c>
      <c r="E10" s="3282" t="s">
        <v>3294</v>
      </c>
      <c r="J10" s="3286" t="str">
        <f>A69</f>
        <v>4层(04)</v>
      </c>
      <c r="K10" s="3285"/>
      <c r="L10" s="3285">
        <f>SUM(B79:B86)+B70+B71</f>
        <v>1712.1499999999999</v>
      </c>
      <c r="M10" s="3289" t="s">
        <v>3651</v>
      </c>
    </row>
    <row r="11" spans="1:22">
      <c r="A11" s="3282" t="s">
        <v>3296</v>
      </c>
      <c r="B11" s="3282">
        <v>40.08</v>
      </c>
      <c r="C11" s="3282" t="s">
        <v>3297</v>
      </c>
      <c r="E11" s="3282" t="s">
        <v>3298</v>
      </c>
      <c r="J11" s="3286" t="str">
        <f>A87</f>
        <v>5层(05)</v>
      </c>
      <c r="K11" s="3285"/>
      <c r="L11" s="3285">
        <f>SUM(B88:B97)</f>
        <v>1712.1499999999999</v>
      </c>
      <c r="M11" s="3289" t="s">
        <v>3651</v>
      </c>
    </row>
    <row r="12" spans="1:22">
      <c r="A12" s="3282" t="s">
        <v>3299</v>
      </c>
      <c r="B12" s="3282">
        <v>26.58</v>
      </c>
      <c r="C12" s="3282" t="s">
        <v>3300</v>
      </c>
      <c r="E12" s="3282" t="s">
        <v>3301</v>
      </c>
      <c r="J12" s="3286" t="str">
        <f>A98</f>
        <v>6层(06)</v>
      </c>
      <c r="K12" s="3285"/>
      <c r="L12" s="3285">
        <f>SUM(B99:B108)</f>
        <v>1712.1499999999999</v>
      </c>
      <c r="M12" s="3289" t="s">
        <v>3651</v>
      </c>
    </row>
    <row r="13" spans="1:22">
      <c r="A13" s="3282" t="s">
        <v>3302</v>
      </c>
      <c r="B13" s="3282">
        <v>149.85</v>
      </c>
      <c r="C13" s="3282" t="s">
        <v>3303</v>
      </c>
      <c r="E13" s="3282" t="s">
        <v>3304</v>
      </c>
      <c r="J13" s="3286" t="str">
        <f>A116</f>
        <v>7层(07)</v>
      </c>
      <c r="K13" s="3285"/>
      <c r="L13" s="3285">
        <f>SUM(B117:B126)</f>
        <v>1712.1499999999999</v>
      </c>
      <c r="M13" s="3289" t="s">
        <v>3651</v>
      </c>
    </row>
    <row r="14" spans="1:22">
      <c r="A14" s="3282" t="s">
        <v>3305</v>
      </c>
      <c r="B14" s="3282">
        <v>42.41</v>
      </c>
      <c r="C14" s="3282" t="s">
        <v>3306</v>
      </c>
      <c r="E14" s="3282" t="s">
        <v>3307</v>
      </c>
      <c r="J14" s="3286" t="str">
        <f>A127</f>
        <v>8层(08)</v>
      </c>
      <c r="K14" s="3285"/>
      <c r="L14" s="3285">
        <f>SUM(B128:B137)</f>
        <v>1727.8200000000002</v>
      </c>
      <c r="M14" s="3289" t="s">
        <v>3651</v>
      </c>
    </row>
    <row r="15" spans="1:22">
      <c r="A15" s="3282" t="s">
        <v>3308</v>
      </c>
      <c r="B15" s="3282">
        <v>54.93</v>
      </c>
      <c r="C15" s="3282" t="s">
        <v>3290</v>
      </c>
      <c r="E15" s="3282" t="s">
        <v>3291</v>
      </c>
      <c r="J15" s="3286" t="str">
        <f>A138</f>
        <v>9层(09)</v>
      </c>
      <c r="K15" s="3285"/>
      <c r="L15" s="3285">
        <f>SUM(B139:B145)+B153+B154+B155</f>
        <v>1727.8200000000002</v>
      </c>
      <c r="M15" s="3289" t="s">
        <v>3651</v>
      </c>
    </row>
    <row r="16" spans="1:22">
      <c r="A16" s="3282" t="s">
        <v>3309</v>
      </c>
      <c r="B16" s="3282">
        <v>176.41</v>
      </c>
      <c r="C16" s="3282" t="s">
        <v>3310</v>
      </c>
      <c r="E16" s="3282" t="s">
        <v>3311</v>
      </c>
      <c r="J16" s="3286" t="str">
        <f>A156</f>
        <v>10层(10)</v>
      </c>
      <c r="K16" s="3285"/>
      <c r="L16" s="3285">
        <f>SUM(B157:B166)</f>
        <v>1727.8200000000002</v>
      </c>
      <c r="M16" s="3289" t="s">
        <v>3651</v>
      </c>
    </row>
    <row r="17" spans="1:13">
      <c r="A17" s="3282" t="s">
        <v>3312</v>
      </c>
      <c r="J17" s="3286" t="str">
        <f>A167</f>
        <v>11层(11)</v>
      </c>
      <c r="K17" s="3285"/>
      <c r="L17" s="3285">
        <f>SUM(B168:B177)</f>
        <v>1727.8200000000002</v>
      </c>
      <c r="M17" s="3289" t="s">
        <v>3651</v>
      </c>
    </row>
    <row r="18" spans="1:13">
      <c r="A18" s="3282" t="s">
        <v>3313</v>
      </c>
      <c r="B18" s="3282">
        <v>271.52999999999997</v>
      </c>
      <c r="C18" s="3282" t="s">
        <v>3314</v>
      </c>
      <c r="E18" s="3282" t="s">
        <v>3315</v>
      </c>
      <c r="J18" s="3286" t="str">
        <f>A178</f>
        <v>12夹层(00)</v>
      </c>
      <c r="K18" s="3285"/>
      <c r="L18" s="3285">
        <f>SUM(B179:B181)</f>
        <v>662.52</v>
      </c>
      <c r="M18" s="3289" t="s">
        <v>3651</v>
      </c>
    </row>
    <row r="19" spans="1:13">
      <c r="A19" s="3282" t="s">
        <v>3316</v>
      </c>
      <c r="B19" s="3282">
        <v>195.83</v>
      </c>
      <c r="C19" s="3282" t="s">
        <v>3317</v>
      </c>
      <c r="E19" s="3282" t="s">
        <v>3318</v>
      </c>
      <c r="J19" s="3286" t="str">
        <f>A182</f>
        <v>13层(13)</v>
      </c>
      <c r="K19" s="3285"/>
      <c r="L19" s="3285">
        <f>SUM(B190:B193)</f>
        <v>1918.1100000000001</v>
      </c>
      <c r="M19" s="3289" t="s">
        <v>3651</v>
      </c>
    </row>
    <row r="20" spans="1:13">
      <c r="A20" s="3282" t="s">
        <v>3319</v>
      </c>
      <c r="B20" s="3282">
        <v>54.93</v>
      </c>
      <c r="C20" s="3282" t="s">
        <v>3290</v>
      </c>
      <c r="E20" s="3282" t="s">
        <v>3291</v>
      </c>
      <c r="J20" s="3286" t="str">
        <f>A194</f>
        <v>14层(14)</v>
      </c>
      <c r="K20" s="3285"/>
      <c r="L20" s="3285">
        <f>B195+B196+B197+B198</f>
        <v>1918.1100000000001</v>
      </c>
      <c r="M20" s="3289" t="s">
        <v>3651</v>
      </c>
    </row>
    <row r="21" spans="1:13">
      <c r="A21" s="3282" t="s">
        <v>3320</v>
      </c>
      <c r="B21" s="3284">
        <v>51.92</v>
      </c>
      <c r="C21" s="3282" t="s">
        <v>3293</v>
      </c>
      <c r="E21" s="3282" t="s">
        <v>3294</v>
      </c>
      <c r="J21" s="3286" t="str">
        <f>A199</f>
        <v>15层(15)</v>
      </c>
      <c r="K21" s="3285"/>
      <c r="L21" s="3285">
        <f>B200+B201+B202+B203</f>
        <v>1918.1100000000001</v>
      </c>
      <c r="M21" s="3289" t="s">
        <v>3651</v>
      </c>
    </row>
    <row r="22" spans="1:13">
      <c r="A22" s="3282" t="s">
        <v>3321</v>
      </c>
      <c r="B22" s="3284">
        <v>51.92</v>
      </c>
      <c r="C22" s="3282" t="s">
        <v>3293</v>
      </c>
      <c r="E22" s="3282" t="s">
        <v>3294</v>
      </c>
      <c r="J22" s="3286" t="str">
        <f>A204</f>
        <v>16层(16)</v>
      </c>
      <c r="K22" s="3285"/>
      <c r="L22" s="3285">
        <f>B205+B206+B207+B208</f>
        <v>1918.1100000000001</v>
      </c>
      <c r="M22" s="3289" t="s">
        <v>3651</v>
      </c>
    </row>
    <row r="23" spans="1:13">
      <c r="A23" s="3282" t="s">
        <v>3322</v>
      </c>
      <c r="B23" s="3284">
        <v>40.08</v>
      </c>
      <c r="C23" s="3282" t="s">
        <v>3297</v>
      </c>
      <c r="E23" s="3282" t="s">
        <v>3298</v>
      </c>
      <c r="J23" s="3286" t="str">
        <f>A209</f>
        <v>17层(17)</v>
      </c>
      <c r="K23" s="3285"/>
      <c r="L23" s="3285">
        <f>B210+B211+B212+B213</f>
        <v>1925</v>
      </c>
      <c r="M23" s="3289" t="s">
        <v>3651</v>
      </c>
    </row>
    <row r="24" spans="1:13">
      <c r="A24" s="3282" t="s">
        <v>3323</v>
      </c>
      <c r="B24" s="3284">
        <v>276.18</v>
      </c>
      <c r="C24" s="3282" t="s">
        <v>3324</v>
      </c>
      <c r="E24" s="3282" t="s">
        <v>3325</v>
      </c>
      <c r="J24" s="3286" t="str">
        <f>A214</f>
        <v>18层(18)</v>
      </c>
      <c r="K24" s="3285"/>
      <c r="L24" s="3285">
        <f>B215+B216+B217+B218</f>
        <v>1925</v>
      </c>
      <c r="M24" s="3289" t="s">
        <v>3651</v>
      </c>
    </row>
    <row r="25" spans="1:13">
      <c r="A25" s="3282" t="s">
        <v>3326</v>
      </c>
      <c r="B25" s="3284">
        <v>42.41</v>
      </c>
      <c r="C25" s="3282" t="s">
        <v>3306</v>
      </c>
      <c r="E25" s="3282" t="s">
        <v>3307</v>
      </c>
      <c r="J25" s="3286" t="str">
        <f>A219</f>
        <v>19层(19)</v>
      </c>
      <c r="K25" s="3285"/>
      <c r="L25" s="3285">
        <f>B227+B228+B229+B230</f>
        <v>1925</v>
      </c>
      <c r="M25" s="3289" t="s">
        <v>3651</v>
      </c>
    </row>
    <row r="26" spans="1:13">
      <c r="A26" s="3282" t="s">
        <v>3327</v>
      </c>
      <c r="B26" s="3284">
        <v>54.93</v>
      </c>
      <c r="C26" s="3282" t="s">
        <v>3290</v>
      </c>
      <c r="E26" s="3282" t="s">
        <v>3291</v>
      </c>
      <c r="J26" s="3286" t="str">
        <f>A231</f>
        <v>20层(20)</v>
      </c>
      <c r="K26" s="3285"/>
      <c r="L26" s="3285">
        <f>B232+B233+B234+B235</f>
        <v>1925</v>
      </c>
      <c r="M26" s="3289" t="s">
        <v>3651</v>
      </c>
    </row>
    <row r="27" spans="1:13">
      <c r="A27" s="3282" t="s">
        <v>3328</v>
      </c>
      <c r="B27" s="3284">
        <v>165.48</v>
      </c>
      <c r="C27" s="3282" t="s">
        <v>3329</v>
      </c>
      <c r="E27" s="3282" t="s">
        <v>3330</v>
      </c>
      <c r="J27" s="3286" t="str">
        <f>A236</f>
        <v>21层(21)</v>
      </c>
      <c r="K27" s="3285"/>
      <c r="L27" s="3285">
        <f>B237+B238+B239+B240</f>
        <v>1925</v>
      </c>
      <c r="M27" s="3289" t="s">
        <v>3651</v>
      </c>
    </row>
    <row r="28" spans="1:13">
      <c r="A28" s="3282" t="s">
        <v>3331</v>
      </c>
      <c r="J28" s="3286" t="str">
        <f>A241</f>
        <v>22层(22)</v>
      </c>
      <c r="K28" s="3285"/>
      <c r="L28" s="3285">
        <f>B242+B243+B244+B245</f>
        <v>1925</v>
      </c>
      <c r="M28" s="3289" t="s">
        <v>3651</v>
      </c>
    </row>
    <row r="29" spans="1:13">
      <c r="A29" s="3282" t="s">
        <v>3332</v>
      </c>
      <c r="B29" s="3284">
        <v>3957.15</v>
      </c>
      <c r="C29" s="3282" t="s">
        <v>3333</v>
      </c>
      <c r="E29" s="3282" t="s">
        <v>3334</v>
      </c>
      <c r="G29" s="3282">
        <v>0.57685699999999995</v>
      </c>
      <c r="J29" s="3286" t="str">
        <f>A246</f>
        <v>24层(24)</v>
      </c>
      <c r="K29" s="3285"/>
      <c r="L29" s="3285">
        <f>B247+B248</f>
        <v>2077.0299999999997</v>
      </c>
      <c r="M29" s="3289" t="s">
        <v>3651</v>
      </c>
    </row>
    <row r="30" spans="1:13">
      <c r="A30" s="3282" t="s">
        <v>3335</v>
      </c>
      <c r="J30" s="3286" t="str">
        <f>A249</f>
        <v>25层(25)</v>
      </c>
      <c r="K30" s="3285"/>
      <c r="L30" s="3285">
        <f>B250+B251</f>
        <v>2077.0299999999997</v>
      </c>
      <c r="M30" s="3289" t="s">
        <v>3651</v>
      </c>
    </row>
    <row r="31" spans="1:13">
      <c r="A31" s="3282" t="s">
        <v>3336</v>
      </c>
      <c r="B31" s="3284">
        <v>294.57</v>
      </c>
      <c r="C31" s="3282" t="s">
        <v>3337</v>
      </c>
      <c r="E31" s="3282" t="s">
        <v>3338</v>
      </c>
      <c r="G31" s="3282">
        <v>0.45174799999999998</v>
      </c>
      <c r="J31" s="3286" t="str">
        <f>A252</f>
        <v>26层(26)</v>
      </c>
      <c r="K31" s="3285"/>
      <c r="L31" s="3285">
        <f>B253+B254</f>
        <v>2083.0300000000002</v>
      </c>
      <c r="M31" s="3289" t="s">
        <v>3651</v>
      </c>
    </row>
    <row r="32" spans="1:13">
      <c r="A32" s="3282" t="s">
        <v>3339</v>
      </c>
      <c r="B32" s="3284">
        <v>118.33</v>
      </c>
      <c r="C32" s="3282" t="s">
        <v>3340</v>
      </c>
      <c r="E32" s="3282" t="s">
        <v>3341</v>
      </c>
      <c r="J32" s="3286" t="str">
        <f>A255</f>
        <v>27层(27)</v>
      </c>
      <c r="K32" s="3285"/>
      <c r="L32" s="3285">
        <f>B256+B264</f>
        <v>2083.0300000000002</v>
      </c>
      <c r="M32" s="3289" t="s">
        <v>3651</v>
      </c>
    </row>
    <row r="33" spans="1:13">
      <c r="A33" s="3282" t="s">
        <v>3342</v>
      </c>
      <c r="B33" s="3284">
        <v>167.46</v>
      </c>
      <c r="C33" s="3282" t="s">
        <v>3343</v>
      </c>
      <c r="E33" s="3282" t="s">
        <v>3344</v>
      </c>
      <c r="J33" s="3286" t="str">
        <f>A265</f>
        <v>28层(28)</v>
      </c>
      <c r="K33" s="3285"/>
      <c r="L33" s="3285">
        <f>B266+B267</f>
        <v>2083.0300000000002</v>
      </c>
      <c r="M33" s="3289" t="s">
        <v>3651</v>
      </c>
    </row>
    <row r="34" spans="1:13">
      <c r="A34" s="3282" t="s">
        <v>3345</v>
      </c>
      <c r="B34" s="3284">
        <v>174.43</v>
      </c>
      <c r="C34" s="3282" t="s">
        <v>3346</v>
      </c>
      <c r="E34" s="3282" t="s">
        <v>3347</v>
      </c>
      <c r="J34" s="3286" t="str">
        <f>A268</f>
        <v>29层(29)</v>
      </c>
      <c r="K34" s="3285"/>
      <c r="L34" s="3285">
        <f>B269+B270</f>
        <v>2088.08</v>
      </c>
      <c r="M34" s="3289" t="s">
        <v>3651</v>
      </c>
    </row>
    <row r="35" spans="1:13">
      <c r="A35" s="3282" t="s">
        <v>3634</v>
      </c>
      <c r="B35" s="3282">
        <v>7056.42</v>
      </c>
      <c r="C35" s="3282">
        <v>4532.66</v>
      </c>
      <c r="E35" s="3282">
        <v>2523.7600000000002</v>
      </c>
      <c r="J35" s="3286" t="str">
        <f>A271</f>
        <v>30层(30)</v>
      </c>
      <c r="K35" s="3285"/>
      <c r="L35" s="3285">
        <f>B272+B273</f>
        <v>2088.08</v>
      </c>
      <c r="M35" s="3289" t="s">
        <v>3651</v>
      </c>
    </row>
    <row r="36" spans="1:13">
      <c r="A36" s="3282" t="s">
        <v>3635</v>
      </c>
      <c r="B36" s="3282">
        <v>70117.27</v>
      </c>
      <c r="C36" s="3282">
        <v>47970.5</v>
      </c>
      <c r="E36" s="3282">
        <v>22146.77</v>
      </c>
      <c r="J36" s="3286" t="str">
        <f>A274</f>
        <v>31层(31)</v>
      </c>
      <c r="K36" s="3285"/>
      <c r="L36" s="3285">
        <f>B275+B276</f>
        <v>2088.08</v>
      </c>
      <c r="M36" s="3289" t="s">
        <v>3651</v>
      </c>
    </row>
    <row r="37" spans="1:13" hidden="1">
      <c r="A37" s="3282" t="s">
        <v>3627</v>
      </c>
      <c r="J37" s="3286" t="s">
        <v>3643</v>
      </c>
      <c r="K37" s="3285"/>
      <c r="L37" s="3285"/>
      <c r="M37" s="3289" t="s">
        <v>3651</v>
      </c>
    </row>
    <row r="38" spans="1:13" hidden="1">
      <c r="A38" s="3282" t="s">
        <v>3628</v>
      </c>
      <c r="J38" s="3286" t="s">
        <v>3644</v>
      </c>
      <c r="K38" s="3285"/>
      <c r="L38" s="3285"/>
      <c r="M38" s="3289" t="s">
        <v>3651</v>
      </c>
    </row>
    <row r="39" spans="1:13" hidden="1">
      <c r="A39" s="3282" t="s">
        <v>3279</v>
      </c>
      <c r="B39" s="3282" t="s">
        <v>3629</v>
      </c>
      <c r="C39" s="3282" t="s">
        <v>3280</v>
      </c>
      <c r="G39" s="3282" t="s">
        <v>3630</v>
      </c>
      <c r="J39" s="3286" t="s">
        <v>3645</v>
      </c>
      <c r="K39" s="3285"/>
      <c r="L39" s="3285"/>
      <c r="M39" s="3289" t="s">
        <v>3651</v>
      </c>
    </row>
    <row r="40" spans="1:13" hidden="1">
      <c r="C40" s="3282" t="s">
        <v>3631</v>
      </c>
      <c r="D40" s="3282" t="s">
        <v>3632</v>
      </c>
      <c r="E40" s="3282" t="s">
        <v>3633</v>
      </c>
      <c r="G40" s="3282">
        <v>0.45174799999999998</v>
      </c>
      <c r="J40" s="3286" t="s">
        <v>3646</v>
      </c>
      <c r="K40" s="3285"/>
      <c r="L40" s="3285"/>
      <c r="M40" s="3289" t="s">
        <v>3651</v>
      </c>
    </row>
    <row r="41" spans="1:13" hidden="1">
      <c r="G41" s="3282" t="s">
        <v>3281</v>
      </c>
      <c r="J41" s="3285"/>
      <c r="K41" s="3285"/>
      <c r="L41" s="3285"/>
      <c r="M41" s="3289" t="s">
        <v>3651</v>
      </c>
    </row>
    <row r="42" spans="1:13" hidden="1">
      <c r="A42" s="3282" t="s">
        <v>3348</v>
      </c>
      <c r="B42" s="3284">
        <v>108.79</v>
      </c>
      <c r="C42" s="3282" t="s">
        <v>3349</v>
      </c>
      <c r="E42" s="3282" t="s">
        <v>3350</v>
      </c>
      <c r="J42" s="3285"/>
      <c r="K42" s="3285"/>
      <c r="L42" s="3285"/>
      <c r="M42" s="3289" t="s">
        <v>3651</v>
      </c>
    </row>
    <row r="43" spans="1:13" hidden="1">
      <c r="A43" s="3282" t="s">
        <v>3351</v>
      </c>
      <c r="B43" s="3284">
        <v>257.35000000000002</v>
      </c>
      <c r="C43" s="3282" t="s">
        <v>3352</v>
      </c>
      <c r="E43" s="3282" t="s">
        <v>3353</v>
      </c>
      <c r="J43" s="3285"/>
      <c r="K43" s="3285"/>
      <c r="L43" s="3285"/>
      <c r="M43" s="3289" t="s">
        <v>3651</v>
      </c>
    </row>
    <row r="44" spans="1:13" hidden="1">
      <c r="A44" s="3282" t="s">
        <v>3354</v>
      </c>
      <c r="J44" s="3285"/>
      <c r="K44" s="3285"/>
      <c r="L44" s="3285"/>
      <c r="M44" s="3289" t="s">
        <v>3651</v>
      </c>
    </row>
    <row r="45" spans="1:13" hidden="1">
      <c r="A45" s="3282" t="s">
        <v>3355</v>
      </c>
      <c r="B45" s="3284">
        <v>483.64</v>
      </c>
      <c r="C45" s="3282" t="s">
        <v>3356</v>
      </c>
      <c r="E45" s="3282" t="s">
        <v>3357</v>
      </c>
      <c r="J45" s="3285"/>
      <c r="K45" s="3285"/>
      <c r="L45" s="3285"/>
      <c r="M45" s="3289" t="s">
        <v>3651</v>
      </c>
    </row>
    <row r="46" spans="1:13" hidden="1">
      <c r="A46" s="3282" t="s">
        <v>3358</v>
      </c>
      <c r="B46" s="3284">
        <v>470.83</v>
      </c>
      <c r="C46" s="3282" t="s">
        <v>3359</v>
      </c>
      <c r="E46" s="3282" t="s">
        <v>3360</v>
      </c>
      <c r="J46" s="3285"/>
      <c r="K46" s="3285"/>
      <c r="L46" s="3285"/>
      <c r="M46" s="3289" t="s">
        <v>3651</v>
      </c>
    </row>
    <row r="47" spans="1:13" hidden="1">
      <c r="A47" s="3282" t="s">
        <v>3361</v>
      </c>
      <c r="J47" s="3285"/>
      <c r="K47" s="3285"/>
      <c r="L47" s="3285"/>
      <c r="M47" s="3289" t="s">
        <v>3651</v>
      </c>
    </row>
    <row r="48" spans="1:13" hidden="1">
      <c r="A48" s="3282" t="s">
        <v>3362</v>
      </c>
      <c r="B48" s="3284">
        <v>141.88999999999999</v>
      </c>
      <c r="C48" s="3282" t="s">
        <v>3363</v>
      </c>
      <c r="E48" s="3282" t="s">
        <v>3364</v>
      </c>
      <c r="J48" s="3285"/>
      <c r="K48" s="3285"/>
      <c r="L48" s="3285"/>
      <c r="M48" s="3289" t="s">
        <v>3651</v>
      </c>
    </row>
    <row r="49" spans="1:13" hidden="1">
      <c r="A49" s="3282" t="s">
        <v>3365</v>
      </c>
      <c r="B49" s="3284">
        <v>77.31</v>
      </c>
      <c r="C49" s="3282" t="s">
        <v>3366</v>
      </c>
      <c r="E49" s="3282" t="s">
        <v>3367</v>
      </c>
      <c r="J49" s="3285"/>
      <c r="K49" s="3285"/>
      <c r="L49" s="3285"/>
      <c r="M49" s="3289" t="s">
        <v>3651</v>
      </c>
    </row>
    <row r="50" spans="1:13" hidden="1">
      <c r="A50" s="3282" t="s">
        <v>3368</v>
      </c>
      <c r="B50" s="3284">
        <v>175.49</v>
      </c>
      <c r="C50" s="3282" t="s">
        <v>3369</v>
      </c>
      <c r="E50" s="3282" t="s">
        <v>3370</v>
      </c>
      <c r="J50" s="3285"/>
      <c r="K50" s="3285"/>
      <c r="L50" s="3285"/>
      <c r="M50" s="3289" t="s">
        <v>3651</v>
      </c>
    </row>
    <row r="51" spans="1:13" hidden="1">
      <c r="A51" s="3282" t="s">
        <v>3371</v>
      </c>
      <c r="B51" s="3284">
        <v>279.17</v>
      </c>
      <c r="C51" s="3282" t="s">
        <v>3372</v>
      </c>
      <c r="E51" s="3282" t="s">
        <v>3373</v>
      </c>
      <c r="J51" s="3285"/>
      <c r="K51" s="3285"/>
      <c r="L51" s="3285"/>
      <c r="M51" s="3289" t="s">
        <v>3651</v>
      </c>
    </row>
    <row r="52" spans="1:13" hidden="1">
      <c r="A52" s="3282" t="s">
        <v>3374</v>
      </c>
      <c r="B52" s="3284">
        <v>175.49</v>
      </c>
      <c r="C52" s="3282" t="s">
        <v>3369</v>
      </c>
      <c r="E52" s="3282" t="s">
        <v>3370</v>
      </c>
      <c r="J52" s="3285"/>
      <c r="K52" s="3285"/>
      <c r="L52" s="3285"/>
      <c r="M52" s="3289" t="s">
        <v>3651</v>
      </c>
    </row>
    <row r="53" spans="1:13" hidden="1">
      <c r="A53" s="3282" t="s">
        <v>3375</v>
      </c>
      <c r="B53" s="3284">
        <v>141.88999999999999</v>
      </c>
      <c r="C53" s="3282" t="s">
        <v>3363</v>
      </c>
      <c r="E53" s="3282" t="s">
        <v>3364</v>
      </c>
      <c r="J53" s="3285"/>
      <c r="K53" s="3285"/>
      <c r="L53" s="3285"/>
      <c r="M53" s="3289" t="s">
        <v>3651</v>
      </c>
    </row>
    <row r="54" spans="1:13" hidden="1">
      <c r="A54" s="3282" t="s">
        <v>3376</v>
      </c>
      <c r="B54" s="3284">
        <v>74.95</v>
      </c>
      <c r="C54" s="3282" t="s">
        <v>3377</v>
      </c>
      <c r="E54" s="3282" t="s">
        <v>3378</v>
      </c>
      <c r="J54" s="3285"/>
      <c r="K54" s="3285"/>
      <c r="L54" s="3285"/>
      <c r="M54" s="3289" t="s">
        <v>3651</v>
      </c>
    </row>
    <row r="55" spans="1:13" hidden="1">
      <c r="A55" s="3282" t="s">
        <v>3379</v>
      </c>
      <c r="B55" s="3284">
        <v>175.49</v>
      </c>
      <c r="C55" s="3282" t="s">
        <v>3369</v>
      </c>
      <c r="E55" s="3282" t="s">
        <v>3370</v>
      </c>
      <c r="J55" s="3285"/>
      <c r="K55" s="3285"/>
      <c r="L55" s="3285"/>
      <c r="M55" s="3289" t="s">
        <v>3651</v>
      </c>
    </row>
    <row r="56" spans="1:13" hidden="1">
      <c r="A56" s="3282" t="s">
        <v>3380</v>
      </c>
      <c r="B56" s="3284">
        <v>279.17</v>
      </c>
      <c r="C56" s="3282" t="s">
        <v>3372</v>
      </c>
      <c r="E56" s="3282" t="s">
        <v>3373</v>
      </c>
      <c r="J56" s="3285"/>
      <c r="K56" s="3285"/>
      <c r="L56" s="3285"/>
      <c r="M56" s="3289" t="s">
        <v>3651</v>
      </c>
    </row>
    <row r="57" spans="1:13" hidden="1">
      <c r="A57" s="3282" t="s">
        <v>3381</v>
      </c>
      <c r="B57" s="3284">
        <v>175.49</v>
      </c>
      <c r="C57" s="3282" t="s">
        <v>3369</v>
      </c>
      <c r="E57" s="3282" t="s">
        <v>3370</v>
      </c>
      <c r="J57" s="3285"/>
      <c r="K57" s="3285"/>
      <c r="L57" s="3285"/>
      <c r="M57" s="3289" t="s">
        <v>3651</v>
      </c>
    </row>
    <row r="58" spans="1:13" hidden="1">
      <c r="A58" s="3282" t="s">
        <v>3382</v>
      </c>
      <c r="J58" s="3285"/>
      <c r="K58" s="3285"/>
      <c r="L58" s="3285"/>
      <c r="M58" s="3289" t="s">
        <v>3651</v>
      </c>
    </row>
    <row r="59" spans="1:13" hidden="1">
      <c r="A59" s="3282" t="s">
        <v>3383</v>
      </c>
      <c r="B59" s="3284">
        <v>141.88999999999999</v>
      </c>
      <c r="C59" s="3282" t="s">
        <v>3363</v>
      </c>
      <c r="E59" s="3282" t="s">
        <v>3364</v>
      </c>
      <c r="J59" s="3285"/>
      <c r="K59" s="3285"/>
      <c r="L59" s="3285"/>
      <c r="M59" s="3289" t="s">
        <v>3651</v>
      </c>
    </row>
    <row r="60" spans="1:13" hidden="1">
      <c r="A60" s="3282" t="s">
        <v>3384</v>
      </c>
      <c r="B60" s="3284">
        <v>77.31</v>
      </c>
      <c r="C60" s="3282" t="s">
        <v>3366</v>
      </c>
      <c r="E60" s="3282" t="s">
        <v>3367</v>
      </c>
      <c r="J60" s="3285"/>
      <c r="K60" s="3285"/>
      <c r="L60" s="3285"/>
      <c r="M60" s="3289" t="s">
        <v>3651</v>
      </c>
    </row>
    <row r="61" spans="1:13" hidden="1">
      <c r="A61" s="3282" t="s">
        <v>3385</v>
      </c>
      <c r="B61" s="3284">
        <v>175.49</v>
      </c>
      <c r="C61" s="3282" t="s">
        <v>3369</v>
      </c>
      <c r="E61" s="3282" t="s">
        <v>3370</v>
      </c>
      <c r="J61" s="3285"/>
      <c r="K61" s="3285"/>
      <c r="L61" s="3285"/>
      <c r="M61" s="3289" t="s">
        <v>3651</v>
      </c>
    </row>
    <row r="62" spans="1:13" hidden="1">
      <c r="A62" s="3282" t="s">
        <v>3386</v>
      </c>
      <c r="B62" s="3284">
        <v>279.17</v>
      </c>
      <c r="C62" s="3282" t="s">
        <v>3372</v>
      </c>
      <c r="E62" s="3282" t="s">
        <v>3373</v>
      </c>
      <c r="J62" s="3285"/>
      <c r="K62" s="3285"/>
      <c r="L62" s="3285"/>
      <c r="M62" s="3289" t="s">
        <v>3651</v>
      </c>
    </row>
    <row r="63" spans="1:13" hidden="1">
      <c r="A63" s="3282" t="s">
        <v>3387</v>
      </c>
      <c r="B63" s="3284">
        <v>175.49</v>
      </c>
      <c r="C63" s="3282" t="s">
        <v>3369</v>
      </c>
      <c r="E63" s="3282" t="s">
        <v>3370</v>
      </c>
      <c r="J63" s="3285"/>
      <c r="K63" s="3285"/>
      <c r="L63" s="3285"/>
      <c r="M63" s="3289" t="s">
        <v>3651</v>
      </c>
    </row>
    <row r="64" spans="1:13" hidden="1">
      <c r="A64" s="3282" t="s">
        <v>3388</v>
      </c>
      <c r="B64" s="3284">
        <v>141.88999999999999</v>
      </c>
      <c r="C64" s="3282" t="s">
        <v>3363</v>
      </c>
      <c r="E64" s="3282" t="s">
        <v>3364</v>
      </c>
      <c r="J64" s="3285"/>
      <c r="K64" s="3285"/>
      <c r="L64" s="3285"/>
      <c r="M64" s="3289" t="s">
        <v>3651</v>
      </c>
    </row>
    <row r="65" spans="1:13" hidden="1">
      <c r="A65" s="3282" t="s">
        <v>3389</v>
      </c>
      <c r="B65" s="3284">
        <v>74.95</v>
      </c>
      <c r="C65" s="3282" t="s">
        <v>3377</v>
      </c>
      <c r="E65" s="3282" t="s">
        <v>3378</v>
      </c>
      <c r="J65" s="3285"/>
      <c r="K65" s="3285"/>
      <c r="L65" s="3285"/>
      <c r="M65" s="3289" t="s">
        <v>3651</v>
      </c>
    </row>
    <row r="66" spans="1:13" hidden="1">
      <c r="A66" s="3282" t="s">
        <v>3390</v>
      </c>
      <c r="B66" s="3284">
        <v>175.49</v>
      </c>
      <c r="C66" s="3282" t="s">
        <v>3369</v>
      </c>
      <c r="E66" s="3282" t="s">
        <v>3370</v>
      </c>
      <c r="J66" s="3285"/>
      <c r="K66" s="3285"/>
      <c r="L66" s="3285"/>
      <c r="M66" s="3289" t="s">
        <v>3651</v>
      </c>
    </row>
    <row r="67" spans="1:13" hidden="1">
      <c r="A67" s="3282" t="s">
        <v>3391</v>
      </c>
      <c r="B67" s="3284">
        <v>279.17</v>
      </c>
      <c r="C67" s="3282" t="s">
        <v>3372</v>
      </c>
      <c r="E67" s="3282" t="s">
        <v>3373</v>
      </c>
      <c r="J67" s="3285"/>
      <c r="K67" s="3285"/>
      <c r="L67" s="3285"/>
      <c r="M67" s="3289" t="s">
        <v>3651</v>
      </c>
    </row>
    <row r="68" spans="1:13" hidden="1">
      <c r="A68" s="3282" t="s">
        <v>3392</v>
      </c>
      <c r="B68" s="3284">
        <v>175.49</v>
      </c>
      <c r="C68" s="3282" t="s">
        <v>3369</v>
      </c>
      <c r="E68" s="3282" t="s">
        <v>3370</v>
      </c>
      <c r="J68" s="3285"/>
      <c r="K68" s="3285"/>
      <c r="L68" s="3285"/>
      <c r="M68" s="3289" t="s">
        <v>3651</v>
      </c>
    </row>
    <row r="69" spans="1:13" hidden="1">
      <c r="A69" s="3282" t="s">
        <v>3393</v>
      </c>
      <c r="J69" s="3285"/>
      <c r="K69" s="3285"/>
      <c r="L69" s="3285"/>
      <c r="M69" s="3289" t="s">
        <v>3651</v>
      </c>
    </row>
    <row r="70" spans="1:13" hidden="1">
      <c r="A70" s="3282" t="s">
        <v>3394</v>
      </c>
      <c r="B70" s="3284">
        <v>143.03</v>
      </c>
      <c r="C70" s="3282" t="s">
        <v>3395</v>
      </c>
      <c r="E70" s="3282" t="s">
        <v>3396</v>
      </c>
      <c r="J70" s="3285"/>
      <c r="K70" s="3285"/>
      <c r="L70" s="3285"/>
      <c r="M70" s="3289" t="s">
        <v>3651</v>
      </c>
    </row>
    <row r="71" spans="1:13" hidden="1">
      <c r="A71" s="3282" t="s">
        <v>3397</v>
      </c>
      <c r="B71" s="3284">
        <v>77.569999999999993</v>
      </c>
      <c r="C71" s="3282" t="s">
        <v>3398</v>
      </c>
      <c r="E71" s="3282" t="s">
        <v>3399</v>
      </c>
      <c r="J71" s="3285"/>
      <c r="K71" s="3285"/>
      <c r="L71" s="3285"/>
      <c r="M71" s="3289" t="s">
        <v>3651</v>
      </c>
    </row>
    <row r="72" spans="1:13" hidden="1">
      <c r="A72" s="3282" t="s">
        <v>3634</v>
      </c>
      <c r="B72" s="3282">
        <v>4933.8900000000003</v>
      </c>
      <c r="C72" s="3282">
        <v>3398.58</v>
      </c>
      <c r="E72" s="3282">
        <v>1535.31</v>
      </c>
      <c r="J72" s="3285"/>
      <c r="K72" s="3285"/>
      <c r="L72" s="3285"/>
      <c r="M72" s="3289" t="s">
        <v>3651</v>
      </c>
    </row>
    <row r="73" spans="1:13" hidden="1">
      <c r="A73" s="3282" t="s">
        <v>3635</v>
      </c>
      <c r="J73" s="3285"/>
      <c r="K73" s="3285"/>
      <c r="L73" s="3285"/>
      <c r="M73" s="3289" t="s">
        <v>3651</v>
      </c>
    </row>
    <row r="74" spans="1:13" hidden="1">
      <c r="A74" s="3282" t="s">
        <v>3627</v>
      </c>
      <c r="J74" s="3285"/>
      <c r="K74" s="3285"/>
      <c r="L74" s="3285"/>
      <c r="M74" s="3289" t="s">
        <v>3651</v>
      </c>
    </row>
    <row r="75" spans="1:13" hidden="1">
      <c r="A75" s="3282" t="s">
        <v>3628</v>
      </c>
      <c r="J75" s="3285"/>
      <c r="K75" s="3285"/>
      <c r="L75" s="3285"/>
      <c r="M75" s="3289" t="s">
        <v>3651</v>
      </c>
    </row>
    <row r="76" spans="1:13" hidden="1">
      <c r="A76" s="3282" t="s">
        <v>3279</v>
      </c>
      <c r="B76" s="3282" t="s">
        <v>3629</v>
      </c>
      <c r="C76" s="3282" t="s">
        <v>3280</v>
      </c>
      <c r="G76" s="3282" t="s">
        <v>3630</v>
      </c>
      <c r="J76" s="3285"/>
      <c r="K76" s="3285"/>
      <c r="L76" s="3285"/>
      <c r="M76" s="3289" t="s">
        <v>3651</v>
      </c>
    </row>
    <row r="77" spans="1:13" hidden="1">
      <c r="C77" s="3282" t="s">
        <v>3631</v>
      </c>
      <c r="D77" s="3282" t="s">
        <v>3632</v>
      </c>
      <c r="E77" s="3282" t="s">
        <v>3633</v>
      </c>
      <c r="G77" s="3282">
        <v>0.45174799999999998</v>
      </c>
      <c r="J77" s="3285"/>
      <c r="K77" s="3285"/>
      <c r="L77" s="3285"/>
      <c r="M77" s="3289" t="s">
        <v>3651</v>
      </c>
    </row>
    <row r="78" spans="1:13" hidden="1">
      <c r="G78" s="3282" t="s">
        <v>3281</v>
      </c>
      <c r="J78" s="3285"/>
      <c r="K78" s="3285"/>
      <c r="L78" s="3285"/>
      <c r="M78" s="3289" t="s">
        <v>3651</v>
      </c>
    </row>
    <row r="79" spans="1:13" hidden="1">
      <c r="A79" s="3282" t="s">
        <v>3400</v>
      </c>
      <c r="B79" s="3284">
        <v>177.23</v>
      </c>
      <c r="C79" s="3282" t="s">
        <v>3401</v>
      </c>
      <c r="E79" s="3282" t="s">
        <v>3402</v>
      </c>
      <c r="J79" s="3285"/>
      <c r="K79" s="3285"/>
      <c r="L79" s="3285"/>
      <c r="M79" s="3289" t="s">
        <v>3651</v>
      </c>
    </row>
    <row r="80" spans="1:13" hidden="1">
      <c r="A80" s="3282" t="s">
        <v>3403</v>
      </c>
      <c r="B80" s="3284">
        <v>282.31</v>
      </c>
      <c r="C80" s="3282" t="s">
        <v>3404</v>
      </c>
      <c r="E80" s="3282" t="s">
        <v>3405</v>
      </c>
      <c r="J80" s="3285"/>
      <c r="K80" s="3285"/>
      <c r="L80" s="3285"/>
      <c r="M80" s="3289" t="s">
        <v>3651</v>
      </c>
    </row>
    <row r="81" spans="1:13" hidden="1">
      <c r="A81" s="3282" t="s">
        <v>3406</v>
      </c>
      <c r="B81" s="3284">
        <v>177.23</v>
      </c>
      <c r="C81" s="3282" t="s">
        <v>3401</v>
      </c>
      <c r="E81" s="3282" t="s">
        <v>3402</v>
      </c>
      <c r="J81" s="3285"/>
      <c r="K81" s="3285"/>
      <c r="L81" s="3285"/>
      <c r="M81" s="3289" t="s">
        <v>3651</v>
      </c>
    </row>
    <row r="82" spans="1:13" hidden="1">
      <c r="A82" s="3282" t="s">
        <v>3407</v>
      </c>
      <c r="B82" s="3284">
        <v>143.03</v>
      </c>
      <c r="C82" s="3282" t="s">
        <v>3395</v>
      </c>
      <c r="E82" s="3282" t="s">
        <v>3396</v>
      </c>
      <c r="J82" s="3285"/>
      <c r="K82" s="3285"/>
      <c r="L82" s="3285"/>
      <c r="M82" s="3289" t="s">
        <v>3651</v>
      </c>
    </row>
    <row r="83" spans="1:13" hidden="1">
      <c r="A83" s="3282" t="s">
        <v>3408</v>
      </c>
      <c r="B83" s="3284">
        <v>74.98</v>
      </c>
      <c r="C83" s="3282" t="s">
        <v>3409</v>
      </c>
      <c r="E83" s="3282" t="s">
        <v>3410</v>
      </c>
      <c r="J83" s="3285"/>
      <c r="K83" s="3285"/>
      <c r="L83" s="3285"/>
      <c r="M83" s="3289" t="s">
        <v>3651</v>
      </c>
    </row>
    <row r="84" spans="1:13" hidden="1">
      <c r="A84" s="3282" t="s">
        <v>3411</v>
      </c>
      <c r="B84" s="3284">
        <v>177.23</v>
      </c>
      <c r="C84" s="3282" t="s">
        <v>3401</v>
      </c>
      <c r="E84" s="3282" t="s">
        <v>3402</v>
      </c>
      <c r="J84" s="3285"/>
      <c r="K84" s="3285"/>
      <c r="L84" s="3285"/>
      <c r="M84" s="3289" t="s">
        <v>3651</v>
      </c>
    </row>
    <row r="85" spans="1:13" hidden="1">
      <c r="A85" s="3282" t="s">
        <v>3412</v>
      </c>
      <c r="B85" s="3284">
        <v>282.31</v>
      </c>
      <c r="C85" s="3282" t="s">
        <v>3404</v>
      </c>
      <c r="E85" s="3282" t="s">
        <v>3405</v>
      </c>
      <c r="J85" s="3285"/>
      <c r="K85" s="3285"/>
      <c r="L85" s="3285"/>
      <c r="M85" s="3289" t="s">
        <v>3651</v>
      </c>
    </row>
    <row r="86" spans="1:13" hidden="1">
      <c r="A86" s="3282" t="s">
        <v>3413</v>
      </c>
      <c r="B86" s="3284">
        <v>177.23</v>
      </c>
      <c r="C86" s="3282" t="s">
        <v>3401</v>
      </c>
      <c r="E86" s="3282" t="s">
        <v>3402</v>
      </c>
      <c r="J86" s="3285"/>
      <c r="K86" s="3285"/>
      <c r="L86" s="3285"/>
      <c r="M86" s="3289" t="s">
        <v>3651</v>
      </c>
    </row>
    <row r="87" spans="1:13" hidden="1">
      <c r="A87" s="3282" t="s">
        <v>3414</v>
      </c>
      <c r="J87" s="3285"/>
      <c r="K87" s="3285"/>
      <c r="L87" s="3285"/>
      <c r="M87" s="3289" t="s">
        <v>3651</v>
      </c>
    </row>
    <row r="88" spans="1:13" hidden="1">
      <c r="A88" s="3282" t="s">
        <v>3415</v>
      </c>
      <c r="B88" s="3284">
        <v>143.03</v>
      </c>
      <c r="C88" s="3282" t="s">
        <v>3395</v>
      </c>
      <c r="E88" s="3282" t="s">
        <v>3396</v>
      </c>
      <c r="J88" s="3285"/>
      <c r="K88" s="3285"/>
      <c r="L88" s="3285"/>
      <c r="M88" s="3289" t="s">
        <v>3651</v>
      </c>
    </row>
    <row r="89" spans="1:13" hidden="1">
      <c r="A89" s="3282" t="s">
        <v>3416</v>
      </c>
      <c r="B89" s="3284">
        <v>77.569999999999993</v>
      </c>
      <c r="C89" s="3282" t="s">
        <v>3398</v>
      </c>
      <c r="E89" s="3282" t="s">
        <v>3399</v>
      </c>
      <c r="J89" s="3285"/>
      <c r="K89" s="3285"/>
      <c r="L89" s="3285"/>
      <c r="M89" s="3289" t="s">
        <v>3651</v>
      </c>
    </row>
    <row r="90" spans="1:13" hidden="1">
      <c r="A90" s="3282" t="s">
        <v>3417</v>
      </c>
      <c r="B90" s="3284">
        <v>177.23</v>
      </c>
      <c r="C90" s="3282" t="s">
        <v>3401</v>
      </c>
      <c r="E90" s="3282" t="s">
        <v>3402</v>
      </c>
      <c r="J90" s="3285"/>
      <c r="K90" s="3285"/>
      <c r="L90" s="3285"/>
      <c r="M90" s="3289" t="s">
        <v>3651</v>
      </c>
    </row>
    <row r="91" spans="1:13" hidden="1">
      <c r="A91" s="3282" t="s">
        <v>3418</v>
      </c>
      <c r="B91" s="3284">
        <v>282.31</v>
      </c>
      <c r="C91" s="3282" t="s">
        <v>3404</v>
      </c>
      <c r="E91" s="3282" t="s">
        <v>3405</v>
      </c>
      <c r="J91" s="3285"/>
      <c r="K91" s="3285"/>
      <c r="L91" s="3285"/>
      <c r="M91" s="3289" t="s">
        <v>3651</v>
      </c>
    </row>
    <row r="92" spans="1:13" hidden="1">
      <c r="A92" s="3282" t="s">
        <v>3419</v>
      </c>
      <c r="B92" s="3284">
        <v>177.23</v>
      </c>
      <c r="C92" s="3282" t="s">
        <v>3401</v>
      </c>
      <c r="E92" s="3282" t="s">
        <v>3402</v>
      </c>
      <c r="J92" s="3285"/>
      <c r="K92" s="3285"/>
      <c r="L92" s="3285"/>
      <c r="M92" s="3289" t="s">
        <v>3651</v>
      </c>
    </row>
    <row r="93" spans="1:13" hidden="1">
      <c r="A93" s="3282" t="s">
        <v>3420</v>
      </c>
      <c r="B93" s="3284">
        <v>143.03</v>
      </c>
      <c r="C93" s="3282" t="s">
        <v>3395</v>
      </c>
      <c r="E93" s="3282" t="s">
        <v>3396</v>
      </c>
      <c r="J93" s="3285"/>
      <c r="K93" s="3285"/>
      <c r="L93" s="3285"/>
      <c r="M93" s="3289" t="s">
        <v>3651</v>
      </c>
    </row>
    <row r="94" spans="1:13" hidden="1">
      <c r="A94" s="3282" t="s">
        <v>3421</v>
      </c>
      <c r="B94" s="3284">
        <v>74.98</v>
      </c>
      <c r="C94" s="3282" t="s">
        <v>3409</v>
      </c>
      <c r="E94" s="3282" t="s">
        <v>3410</v>
      </c>
      <c r="J94" s="3285"/>
      <c r="K94" s="3285"/>
      <c r="L94" s="3285"/>
      <c r="M94" s="3289" t="s">
        <v>3651</v>
      </c>
    </row>
    <row r="95" spans="1:13" hidden="1">
      <c r="A95" s="3282" t="s">
        <v>3422</v>
      </c>
      <c r="B95" s="3284">
        <v>177.23</v>
      </c>
      <c r="C95" s="3282" t="s">
        <v>3401</v>
      </c>
      <c r="E95" s="3282" t="s">
        <v>3402</v>
      </c>
      <c r="J95" s="3285"/>
      <c r="K95" s="3285"/>
      <c r="L95" s="3285"/>
      <c r="M95" s="3289" t="s">
        <v>3651</v>
      </c>
    </row>
    <row r="96" spans="1:13" hidden="1">
      <c r="A96" s="3282" t="s">
        <v>3423</v>
      </c>
      <c r="B96" s="3284">
        <v>282.31</v>
      </c>
      <c r="C96" s="3282" t="s">
        <v>3404</v>
      </c>
      <c r="E96" s="3282" t="s">
        <v>3405</v>
      </c>
      <c r="J96" s="3285"/>
      <c r="K96" s="3285"/>
      <c r="L96" s="3285"/>
      <c r="M96" s="3289" t="s">
        <v>3651</v>
      </c>
    </row>
    <row r="97" spans="1:13" hidden="1">
      <c r="A97" s="3282" t="s">
        <v>3424</v>
      </c>
      <c r="B97" s="3284">
        <v>177.23</v>
      </c>
      <c r="C97" s="3282" t="s">
        <v>3401</v>
      </c>
      <c r="E97" s="3282" t="s">
        <v>3402</v>
      </c>
      <c r="J97" s="3285"/>
      <c r="K97" s="3285"/>
      <c r="L97" s="3285"/>
      <c r="M97" s="3289" t="s">
        <v>3651</v>
      </c>
    </row>
    <row r="98" spans="1:13" hidden="1">
      <c r="A98" s="3282" t="s">
        <v>3425</v>
      </c>
      <c r="J98" s="3285"/>
      <c r="K98" s="3285"/>
      <c r="L98" s="3285"/>
      <c r="M98" s="3289" t="s">
        <v>3651</v>
      </c>
    </row>
    <row r="99" spans="1:13" hidden="1">
      <c r="A99" s="3282" t="s">
        <v>3426</v>
      </c>
      <c r="B99" s="3284">
        <v>143.03</v>
      </c>
      <c r="C99" s="3282" t="s">
        <v>3395</v>
      </c>
      <c r="E99" s="3282" t="s">
        <v>3396</v>
      </c>
      <c r="J99" s="3285"/>
      <c r="K99" s="3285"/>
      <c r="L99" s="3285"/>
      <c r="M99" s="3289" t="s">
        <v>3651</v>
      </c>
    </row>
    <row r="100" spans="1:13" hidden="1">
      <c r="A100" s="3282" t="s">
        <v>3427</v>
      </c>
      <c r="B100" s="3284">
        <v>77.569999999999993</v>
      </c>
      <c r="C100" s="3282" t="s">
        <v>3398</v>
      </c>
      <c r="E100" s="3282" t="s">
        <v>3399</v>
      </c>
      <c r="J100" s="3285"/>
      <c r="K100" s="3285"/>
      <c r="L100" s="3285"/>
      <c r="M100" s="3289" t="s">
        <v>3651</v>
      </c>
    </row>
    <row r="101" spans="1:13" hidden="1">
      <c r="A101" s="3282" t="s">
        <v>3428</v>
      </c>
      <c r="B101" s="3284">
        <v>177.23</v>
      </c>
      <c r="C101" s="3282" t="s">
        <v>3401</v>
      </c>
      <c r="E101" s="3282" t="s">
        <v>3402</v>
      </c>
      <c r="J101" s="3285"/>
      <c r="K101" s="3285"/>
      <c r="L101" s="3285"/>
      <c r="M101" s="3289" t="s">
        <v>3651</v>
      </c>
    </row>
    <row r="102" spans="1:13" hidden="1">
      <c r="A102" s="3282" t="s">
        <v>3429</v>
      </c>
      <c r="B102" s="3284">
        <v>282.31</v>
      </c>
      <c r="C102" s="3282" t="s">
        <v>3404</v>
      </c>
      <c r="E102" s="3282" t="s">
        <v>3405</v>
      </c>
      <c r="J102" s="3285"/>
      <c r="K102" s="3285"/>
      <c r="L102" s="3285"/>
      <c r="M102" s="3289" t="s">
        <v>3651</v>
      </c>
    </row>
    <row r="103" spans="1:13" hidden="1">
      <c r="A103" s="3282" t="s">
        <v>3430</v>
      </c>
      <c r="B103" s="3284">
        <v>177.23</v>
      </c>
      <c r="C103" s="3282" t="s">
        <v>3401</v>
      </c>
      <c r="E103" s="3282" t="s">
        <v>3402</v>
      </c>
      <c r="J103" s="3285"/>
      <c r="K103" s="3285"/>
      <c r="L103" s="3285"/>
      <c r="M103" s="3289" t="s">
        <v>3651</v>
      </c>
    </row>
    <row r="104" spans="1:13" hidden="1">
      <c r="A104" s="3282" t="s">
        <v>3431</v>
      </c>
      <c r="B104" s="3284">
        <v>143.03</v>
      </c>
      <c r="C104" s="3282" t="s">
        <v>3395</v>
      </c>
      <c r="E104" s="3282" t="s">
        <v>3396</v>
      </c>
      <c r="J104" s="3285"/>
      <c r="K104" s="3285"/>
      <c r="L104" s="3285"/>
      <c r="M104" s="3289" t="s">
        <v>3651</v>
      </c>
    </row>
    <row r="105" spans="1:13" hidden="1">
      <c r="A105" s="3282" t="s">
        <v>3432</v>
      </c>
      <c r="B105" s="3284">
        <v>74.98</v>
      </c>
      <c r="C105" s="3282" t="s">
        <v>3409</v>
      </c>
      <c r="E105" s="3282" t="s">
        <v>3410</v>
      </c>
      <c r="J105" s="3285"/>
      <c r="K105" s="3285"/>
      <c r="L105" s="3285"/>
      <c r="M105" s="3289" t="s">
        <v>3651</v>
      </c>
    </row>
    <row r="106" spans="1:13" hidden="1">
      <c r="A106" s="3282" t="s">
        <v>3433</v>
      </c>
      <c r="B106" s="3284">
        <v>177.23</v>
      </c>
      <c r="C106" s="3282" t="s">
        <v>3401</v>
      </c>
      <c r="E106" s="3282" t="s">
        <v>3402</v>
      </c>
      <c r="J106" s="3285"/>
      <c r="K106" s="3285"/>
      <c r="L106" s="3285"/>
      <c r="M106" s="3289" t="s">
        <v>3651</v>
      </c>
    </row>
    <row r="107" spans="1:13" hidden="1">
      <c r="A107" s="3282" t="s">
        <v>3434</v>
      </c>
      <c r="B107" s="3284">
        <v>282.31</v>
      </c>
      <c r="C107" s="3282" t="s">
        <v>3404</v>
      </c>
      <c r="E107" s="3282" t="s">
        <v>3405</v>
      </c>
      <c r="J107" s="3285"/>
      <c r="K107" s="3285"/>
      <c r="L107" s="3285"/>
      <c r="M107" s="3289" t="s">
        <v>3651</v>
      </c>
    </row>
    <row r="108" spans="1:13" hidden="1">
      <c r="A108" s="3282" t="s">
        <v>3435</v>
      </c>
      <c r="B108" s="3284">
        <v>177.23</v>
      </c>
      <c r="C108" s="3282" t="s">
        <v>3401</v>
      </c>
      <c r="E108" s="3282" t="s">
        <v>3402</v>
      </c>
      <c r="J108" s="3285"/>
      <c r="K108" s="3285"/>
      <c r="L108" s="3285"/>
      <c r="M108" s="3289" t="s">
        <v>3651</v>
      </c>
    </row>
    <row r="109" spans="1:13" hidden="1">
      <c r="A109" s="3282" t="s">
        <v>3634</v>
      </c>
      <c r="B109" s="3282">
        <v>4915.8500000000004</v>
      </c>
      <c r="C109" s="3282">
        <v>3386.13</v>
      </c>
      <c r="E109" s="3282">
        <v>1529.72</v>
      </c>
      <c r="J109" s="3285"/>
      <c r="K109" s="3285"/>
      <c r="L109" s="3285"/>
      <c r="M109" s="3289" t="s">
        <v>3651</v>
      </c>
    </row>
    <row r="110" spans="1:13" hidden="1">
      <c r="A110" s="3282" t="s">
        <v>3635</v>
      </c>
      <c r="J110" s="3285"/>
      <c r="K110" s="3285"/>
      <c r="L110" s="3285"/>
      <c r="M110" s="3289" t="s">
        <v>3651</v>
      </c>
    </row>
    <row r="111" spans="1:13" hidden="1">
      <c r="A111" s="3282" t="s">
        <v>3627</v>
      </c>
      <c r="J111" s="3285"/>
      <c r="K111" s="3285"/>
      <c r="L111" s="3285"/>
      <c r="M111" s="3289" t="s">
        <v>3651</v>
      </c>
    </row>
    <row r="112" spans="1:13" hidden="1">
      <c r="A112" s="3282" t="s">
        <v>3628</v>
      </c>
      <c r="J112" s="3285"/>
      <c r="K112" s="3285"/>
      <c r="L112" s="3285"/>
      <c r="M112" s="3289" t="s">
        <v>3651</v>
      </c>
    </row>
    <row r="113" spans="1:13" hidden="1">
      <c r="A113" s="3282" t="s">
        <v>3279</v>
      </c>
      <c r="B113" s="3282" t="s">
        <v>3629</v>
      </c>
      <c r="C113" s="3282" t="s">
        <v>3280</v>
      </c>
      <c r="G113" s="3282" t="s">
        <v>3630</v>
      </c>
      <c r="J113" s="3285"/>
      <c r="K113" s="3285"/>
      <c r="L113" s="3285"/>
      <c r="M113" s="3289" t="s">
        <v>3651</v>
      </c>
    </row>
    <row r="114" spans="1:13" hidden="1">
      <c r="C114" s="3282" t="s">
        <v>3631</v>
      </c>
      <c r="D114" s="3282" t="s">
        <v>3632</v>
      </c>
      <c r="E114" s="3282" t="s">
        <v>3633</v>
      </c>
      <c r="G114" s="3282">
        <v>0.45174799999999998</v>
      </c>
      <c r="J114" s="3285"/>
      <c r="K114" s="3285"/>
      <c r="L114" s="3285"/>
      <c r="M114" s="3289" t="s">
        <v>3651</v>
      </c>
    </row>
    <row r="115" spans="1:13" hidden="1">
      <c r="G115" s="3282" t="s">
        <v>3281</v>
      </c>
      <c r="J115" s="3285"/>
      <c r="K115" s="3285"/>
      <c r="L115" s="3285"/>
      <c r="M115" s="3289" t="s">
        <v>3651</v>
      </c>
    </row>
    <row r="116" spans="1:13" hidden="1">
      <c r="A116" s="3282" t="s">
        <v>3436</v>
      </c>
      <c r="J116" s="3285"/>
      <c r="K116" s="3285"/>
      <c r="L116" s="3285"/>
      <c r="M116" s="3289" t="s">
        <v>3651</v>
      </c>
    </row>
    <row r="117" spans="1:13" hidden="1">
      <c r="A117" s="3282" t="s">
        <v>3437</v>
      </c>
      <c r="B117" s="3284">
        <v>143.03</v>
      </c>
      <c r="C117" s="3282" t="s">
        <v>3395</v>
      </c>
      <c r="E117" s="3282" t="s">
        <v>3396</v>
      </c>
      <c r="J117" s="3285"/>
      <c r="K117" s="3285"/>
      <c r="L117" s="3285"/>
      <c r="M117" s="3289" t="s">
        <v>3651</v>
      </c>
    </row>
    <row r="118" spans="1:13" hidden="1">
      <c r="A118" s="3282" t="s">
        <v>3438</v>
      </c>
      <c r="B118" s="3284">
        <v>77.569999999999993</v>
      </c>
      <c r="C118" s="3282" t="s">
        <v>3398</v>
      </c>
      <c r="E118" s="3282" t="s">
        <v>3399</v>
      </c>
      <c r="J118" s="3285"/>
      <c r="K118" s="3285"/>
      <c r="L118" s="3285"/>
      <c r="M118" s="3289" t="s">
        <v>3651</v>
      </c>
    </row>
    <row r="119" spans="1:13" hidden="1">
      <c r="A119" s="3282" t="s">
        <v>3439</v>
      </c>
      <c r="B119" s="3284">
        <v>177.23</v>
      </c>
      <c r="C119" s="3282" t="s">
        <v>3401</v>
      </c>
      <c r="E119" s="3282" t="s">
        <v>3402</v>
      </c>
      <c r="J119" s="3285"/>
      <c r="K119" s="3285"/>
      <c r="L119" s="3285"/>
      <c r="M119" s="3289" t="s">
        <v>3651</v>
      </c>
    </row>
    <row r="120" spans="1:13" hidden="1">
      <c r="A120" s="3282" t="s">
        <v>3440</v>
      </c>
      <c r="B120" s="3284">
        <v>282.31</v>
      </c>
      <c r="C120" s="3282" t="s">
        <v>3404</v>
      </c>
      <c r="E120" s="3282" t="s">
        <v>3405</v>
      </c>
      <c r="J120" s="3285"/>
      <c r="K120" s="3285"/>
      <c r="L120" s="3285"/>
      <c r="M120" s="3289" t="s">
        <v>3651</v>
      </c>
    </row>
    <row r="121" spans="1:13" hidden="1">
      <c r="A121" s="3282" t="s">
        <v>3441</v>
      </c>
      <c r="B121" s="3284">
        <v>177.23</v>
      </c>
      <c r="C121" s="3282" t="s">
        <v>3401</v>
      </c>
      <c r="E121" s="3282" t="s">
        <v>3402</v>
      </c>
      <c r="J121" s="3285"/>
      <c r="K121" s="3285"/>
      <c r="L121" s="3285"/>
      <c r="M121" s="3289" t="s">
        <v>3651</v>
      </c>
    </row>
    <row r="122" spans="1:13" hidden="1">
      <c r="A122" s="3282" t="s">
        <v>3442</v>
      </c>
      <c r="B122" s="3284">
        <v>143.03</v>
      </c>
      <c r="C122" s="3282" t="s">
        <v>3395</v>
      </c>
      <c r="E122" s="3282" t="s">
        <v>3396</v>
      </c>
      <c r="J122" s="3285"/>
      <c r="K122" s="3285"/>
      <c r="L122" s="3285"/>
      <c r="M122" s="3289" t="s">
        <v>3651</v>
      </c>
    </row>
    <row r="123" spans="1:13" hidden="1">
      <c r="A123" s="3282" t="s">
        <v>3443</v>
      </c>
      <c r="B123" s="3284">
        <v>74.98</v>
      </c>
      <c r="C123" s="3282" t="s">
        <v>3409</v>
      </c>
      <c r="E123" s="3282" t="s">
        <v>3410</v>
      </c>
      <c r="J123" s="3285"/>
      <c r="K123" s="3285"/>
      <c r="L123" s="3285"/>
      <c r="M123" s="3289" t="s">
        <v>3651</v>
      </c>
    </row>
    <row r="124" spans="1:13" hidden="1">
      <c r="A124" s="3282" t="s">
        <v>3444</v>
      </c>
      <c r="B124" s="3284">
        <v>177.23</v>
      </c>
      <c r="C124" s="3282" t="s">
        <v>3401</v>
      </c>
      <c r="E124" s="3282" t="s">
        <v>3402</v>
      </c>
      <c r="J124" s="3285"/>
      <c r="K124" s="3285"/>
      <c r="L124" s="3285"/>
      <c r="M124" s="3289" t="s">
        <v>3651</v>
      </c>
    </row>
    <row r="125" spans="1:13" hidden="1">
      <c r="A125" s="3282" t="s">
        <v>3445</v>
      </c>
      <c r="B125" s="3284">
        <v>282.31</v>
      </c>
      <c r="C125" s="3282" t="s">
        <v>3404</v>
      </c>
      <c r="E125" s="3282" t="s">
        <v>3405</v>
      </c>
      <c r="J125" s="3285"/>
      <c r="K125" s="3285"/>
      <c r="L125" s="3285"/>
      <c r="M125" s="3289" t="s">
        <v>3651</v>
      </c>
    </row>
    <row r="126" spans="1:13" hidden="1">
      <c r="A126" s="3282" t="s">
        <v>3446</v>
      </c>
      <c r="B126" s="3284">
        <v>177.23</v>
      </c>
      <c r="C126" s="3282" t="s">
        <v>3401</v>
      </c>
      <c r="E126" s="3282" t="s">
        <v>3402</v>
      </c>
      <c r="J126" s="3285"/>
      <c r="K126" s="3285"/>
      <c r="L126" s="3285"/>
      <c r="M126" s="3289" t="s">
        <v>3651</v>
      </c>
    </row>
    <row r="127" spans="1:13" hidden="1">
      <c r="A127" s="3282" t="s">
        <v>3447</v>
      </c>
      <c r="J127" s="3285"/>
      <c r="K127" s="3285"/>
      <c r="L127" s="3285"/>
      <c r="M127" s="3289" t="s">
        <v>3651</v>
      </c>
    </row>
    <row r="128" spans="1:13" hidden="1">
      <c r="A128" s="3282" t="s">
        <v>3448</v>
      </c>
      <c r="B128" s="3284">
        <v>144.13</v>
      </c>
      <c r="C128" s="3282" t="s">
        <v>3449</v>
      </c>
      <c r="E128" s="3282" t="s">
        <v>3450</v>
      </c>
      <c r="J128" s="3285"/>
      <c r="K128" s="3285"/>
      <c r="L128" s="3285"/>
      <c r="M128" s="3289" t="s">
        <v>3651</v>
      </c>
    </row>
    <row r="129" spans="1:13" hidden="1">
      <c r="A129" s="3282" t="s">
        <v>3451</v>
      </c>
      <c r="B129" s="3284">
        <v>77.8</v>
      </c>
      <c r="C129" s="3282" t="s">
        <v>3452</v>
      </c>
      <c r="E129" s="3282" t="s">
        <v>3453</v>
      </c>
      <c r="J129" s="3285"/>
      <c r="K129" s="3285"/>
      <c r="L129" s="3285"/>
      <c r="M129" s="3289" t="s">
        <v>3651</v>
      </c>
    </row>
    <row r="130" spans="1:13" hidden="1">
      <c r="A130" s="3282" t="s">
        <v>3454</v>
      </c>
      <c r="B130" s="3284">
        <v>178.97</v>
      </c>
      <c r="C130" s="3282" t="s">
        <v>3455</v>
      </c>
      <c r="E130" s="3282" t="s">
        <v>3456</v>
      </c>
      <c r="J130" s="3285"/>
      <c r="K130" s="3285"/>
      <c r="L130" s="3285"/>
      <c r="M130" s="3289" t="s">
        <v>3651</v>
      </c>
    </row>
    <row r="131" spans="1:13" hidden="1">
      <c r="A131" s="3282" t="s">
        <v>3457</v>
      </c>
      <c r="B131" s="3284">
        <v>285.44</v>
      </c>
      <c r="C131" s="3282" t="s">
        <v>3458</v>
      </c>
      <c r="E131" s="3282" t="s">
        <v>3459</v>
      </c>
      <c r="J131" s="3285"/>
      <c r="K131" s="3285"/>
      <c r="L131" s="3285"/>
      <c r="M131" s="3289" t="s">
        <v>3651</v>
      </c>
    </row>
    <row r="132" spans="1:13" hidden="1">
      <c r="A132" s="3282" t="s">
        <v>3460</v>
      </c>
      <c r="B132" s="3284">
        <v>178.97</v>
      </c>
      <c r="C132" s="3282" t="s">
        <v>3455</v>
      </c>
      <c r="E132" s="3282" t="s">
        <v>3456</v>
      </c>
      <c r="J132" s="3285"/>
      <c r="K132" s="3285"/>
      <c r="L132" s="3285"/>
      <c r="M132" s="3289" t="s">
        <v>3651</v>
      </c>
    </row>
    <row r="133" spans="1:13" hidden="1">
      <c r="A133" s="3282" t="s">
        <v>3461</v>
      </c>
      <c r="B133" s="3284">
        <v>144.13</v>
      </c>
      <c r="C133" s="3282" t="s">
        <v>3449</v>
      </c>
      <c r="E133" s="3282" t="s">
        <v>3450</v>
      </c>
      <c r="J133" s="3285"/>
      <c r="K133" s="3285"/>
      <c r="L133" s="3285"/>
      <c r="M133" s="3289" t="s">
        <v>3651</v>
      </c>
    </row>
    <row r="134" spans="1:13" hidden="1">
      <c r="A134" s="3282" t="s">
        <v>3462</v>
      </c>
      <c r="B134" s="3284">
        <v>75</v>
      </c>
      <c r="C134" s="3282" t="s">
        <v>3463</v>
      </c>
      <c r="E134" s="3282" t="s">
        <v>3464</v>
      </c>
      <c r="J134" s="3285"/>
      <c r="K134" s="3285"/>
      <c r="L134" s="3285"/>
      <c r="M134" s="3289" t="s">
        <v>3651</v>
      </c>
    </row>
    <row r="135" spans="1:13" hidden="1">
      <c r="A135" s="3282" t="s">
        <v>3465</v>
      </c>
      <c r="B135" s="3284">
        <v>178.97</v>
      </c>
      <c r="C135" s="3282" t="s">
        <v>3455</v>
      </c>
      <c r="E135" s="3282" t="s">
        <v>3456</v>
      </c>
      <c r="J135" s="3285"/>
      <c r="K135" s="3285"/>
      <c r="L135" s="3285"/>
      <c r="M135" s="3289" t="s">
        <v>3651</v>
      </c>
    </row>
    <row r="136" spans="1:13" hidden="1">
      <c r="A136" s="3282" t="s">
        <v>3466</v>
      </c>
      <c r="B136" s="3284">
        <v>285.44</v>
      </c>
      <c r="C136" s="3282" t="s">
        <v>3458</v>
      </c>
      <c r="E136" s="3282" t="s">
        <v>3459</v>
      </c>
      <c r="J136" s="3285"/>
      <c r="K136" s="3285"/>
      <c r="L136" s="3285"/>
      <c r="M136" s="3289" t="s">
        <v>3651</v>
      </c>
    </row>
    <row r="137" spans="1:13" hidden="1">
      <c r="A137" s="3282" t="s">
        <v>3467</v>
      </c>
      <c r="B137" s="3284">
        <v>178.97</v>
      </c>
      <c r="C137" s="3282" t="s">
        <v>3455</v>
      </c>
      <c r="E137" s="3282" t="s">
        <v>3456</v>
      </c>
      <c r="J137" s="3285"/>
      <c r="K137" s="3285"/>
      <c r="L137" s="3285"/>
      <c r="M137" s="3289" t="s">
        <v>3651</v>
      </c>
    </row>
    <row r="138" spans="1:13" hidden="1">
      <c r="A138" s="3282" t="s">
        <v>3468</v>
      </c>
      <c r="J138" s="3285"/>
      <c r="K138" s="3285"/>
      <c r="L138" s="3285"/>
      <c r="M138" s="3289" t="s">
        <v>3651</v>
      </c>
    </row>
    <row r="139" spans="1:13" hidden="1">
      <c r="A139" s="3282" t="s">
        <v>3469</v>
      </c>
      <c r="B139" s="3284">
        <v>144.13</v>
      </c>
      <c r="C139" s="3282" t="s">
        <v>3449</v>
      </c>
      <c r="E139" s="3282" t="s">
        <v>3450</v>
      </c>
      <c r="J139" s="3285"/>
      <c r="K139" s="3285"/>
      <c r="L139" s="3285"/>
      <c r="M139" s="3289" t="s">
        <v>3651</v>
      </c>
    </row>
    <row r="140" spans="1:13" hidden="1">
      <c r="A140" s="3282" t="s">
        <v>3470</v>
      </c>
      <c r="B140" s="3284">
        <v>77.8</v>
      </c>
      <c r="C140" s="3282" t="s">
        <v>3452</v>
      </c>
      <c r="E140" s="3282" t="s">
        <v>3453</v>
      </c>
      <c r="J140" s="3285"/>
      <c r="K140" s="3285"/>
      <c r="L140" s="3285"/>
      <c r="M140" s="3289" t="s">
        <v>3651</v>
      </c>
    </row>
    <row r="141" spans="1:13" hidden="1">
      <c r="A141" s="3282" t="s">
        <v>3471</v>
      </c>
      <c r="B141" s="3284">
        <v>178.97</v>
      </c>
      <c r="C141" s="3282" t="s">
        <v>3455</v>
      </c>
      <c r="E141" s="3282" t="s">
        <v>3456</v>
      </c>
      <c r="J141" s="3285"/>
      <c r="K141" s="3285"/>
      <c r="L141" s="3285"/>
      <c r="M141" s="3289" t="s">
        <v>3651</v>
      </c>
    </row>
    <row r="142" spans="1:13" hidden="1">
      <c r="A142" s="3282" t="s">
        <v>3472</v>
      </c>
      <c r="B142" s="3284">
        <v>285.44</v>
      </c>
      <c r="C142" s="3282" t="s">
        <v>3458</v>
      </c>
      <c r="E142" s="3282" t="s">
        <v>3459</v>
      </c>
      <c r="J142" s="3285"/>
      <c r="K142" s="3285"/>
      <c r="L142" s="3285"/>
      <c r="M142" s="3289" t="s">
        <v>3651</v>
      </c>
    </row>
    <row r="143" spans="1:13" hidden="1">
      <c r="A143" s="3282" t="s">
        <v>3473</v>
      </c>
      <c r="B143" s="3284">
        <v>178.97</v>
      </c>
      <c r="C143" s="3282" t="s">
        <v>3455</v>
      </c>
      <c r="E143" s="3282" t="s">
        <v>3456</v>
      </c>
      <c r="J143" s="3285"/>
      <c r="K143" s="3285"/>
      <c r="L143" s="3285"/>
      <c r="M143" s="3289" t="s">
        <v>3651</v>
      </c>
    </row>
    <row r="144" spans="1:13" hidden="1">
      <c r="A144" s="3282" t="s">
        <v>3474</v>
      </c>
      <c r="B144" s="3284">
        <v>144.13</v>
      </c>
      <c r="C144" s="3282" t="s">
        <v>3449</v>
      </c>
      <c r="E144" s="3282" t="s">
        <v>3450</v>
      </c>
      <c r="J144" s="3285"/>
      <c r="K144" s="3285"/>
      <c r="L144" s="3285"/>
      <c r="M144" s="3289" t="s">
        <v>3651</v>
      </c>
    </row>
    <row r="145" spans="1:13" hidden="1">
      <c r="A145" s="3282" t="s">
        <v>3475</v>
      </c>
      <c r="B145" s="3284">
        <v>75</v>
      </c>
      <c r="C145" s="3282" t="s">
        <v>3463</v>
      </c>
      <c r="E145" s="3282" t="s">
        <v>3464</v>
      </c>
      <c r="J145" s="3285"/>
      <c r="K145" s="3285"/>
      <c r="L145" s="3285"/>
      <c r="M145" s="3289" t="s">
        <v>3651</v>
      </c>
    </row>
    <row r="146" spans="1:13" hidden="1">
      <c r="A146" s="3282" t="s">
        <v>3634</v>
      </c>
      <c r="B146" s="3282">
        <v>4524.41</v>
      </c>
      <c r="C146" s="3282">
        <v>3116.52</v>
      </c>
      <c r="E146" s="3282">
        <v>1407.89</v>
      </c>
      <c r="J146" s="3285"/>
      <c r="K146" s="3285"/>
      <c r="L146" s="3285"/>
      <c r="M146" s="3289" t="s">
        <v>3651</v>
      </c>
    </row>
    <row r="147" spans="1:13" hidden="1">
      <c r="A147" s="3282" t="s">
        <v>3635</v>
      </c>
      <c r="J147" s="3285"/>
      <c r="K147" s="3285"/>
      <c r="L147" s="3285"/>
      <c r="M147" s="3289" t="s">
        <v>3651</v>
      </c>
    </row>
    <row r="148" spans="1:13" hidden="1">
      <c r="A148" s="3282" t="s">
        <v>3627</v>
      </c>
      <c r="J148" s="3285"/>
      <c r="K148" s="3285"/>
      <c r="L148" s="3285"/>
      <c r="M148" s="3289" t="s">
        <v>3651</v>
      </c>
    </row>
    <row r="149" spans="1:13" hidden="1">
      <c r="A149" s="3282" t="s">
        <v>3628</v>
      </c>
      <c r="J149" s="3285"/>
      <c r="K149" s="3285"/>
      <c r="L149" s="3285"/>
      <c r="M149" s="3289" t="s">
        <v>3651</v>
      </c>
    </row>
    <row r="150" spans="1:13" hidden="1">
      <c r="A150" s="3282" t="s">
        <v>3279</v>
      </c>
      <c r="B150" s="3282" t="s">
        <v>3629</v>
      </c>
      <c r="C150" s="3282" t="s">
        <v>3280</v>
      </c>
      <c r="G150" s="3282" t="s">
        <v>3630</v>
      </c>
      <c r="J150" s="3285"/>
      <c r="K150" s="3285"/>
      <c r="L150" s="3285"/>
      <c r="M150" s="3289" t="s">
        <v>3651</v>
      </c>
    </row>
    <row r="151" spans="1:13" hidden="1">
      <c r="C151" s="3282" t="s">
        <v>3631</v>
      </c>
      <c r="D151" s="3282" t="s">
        <v>3632</v>
      </c>
      <c r="E151" s="3282" t="s">
        <v>3633</v>
      </c>
      <c r="G151" s="3282">
        <v>0.45174799999999998</v>
      </c>
      <c r="J151" s="3285"/>
      <c r="K151" s="3285"/>
      <c r="L151" s="3285"/>
      <c r="M151" s="3289" t="s">
        <v>3651</v>
      </c>
    </row>
    <row r="152" spans="1:13" hidden="1">
      <c r="G152" s="3282" t="s">
        <v>3281</v>
      </c>
      <c r="J152" s="3285"/>
      <c r="K152" s="3285"/>
      <c r="L152" s="3285"/>
      <c r="M152" s="3289" t="s">
        <v>3651</v>
      </c>
    </row>
    <row r="153" spans="1:13" hidden="1">
      <c r="A153" s="3282" t="s">
        <v>3476</v>
      </c>
      <c r="B153" s="3284">
        <v>178.97</v>
      </c>
      <c r="C153" s="3282" t="s">
        <v>3455</v>
      </c>
      <c r="E153" s="3282" t="s">
        <v>3456</v>
      </c>
      <c r="J153" s="3285"/>
      <c r="K153" s="3285"/>
      <c r="L153" s="3285"/>
      <c r="M153" s="3289" t="s">
        <v>3651</v>
      </c>
    </row>
    <row r="154" spans="1:13" hidden="1">
      <c r="A154" s="3282" t="s">
        <v>3477</v>
      </c>
      <c r="B154" s="3284">
        <v>285.44</v>
      </c>
      <c r="C154" s="3282" t="s">
        <v>3458</v>
      </c>
      <c r="E154" s="3282" t="s">
        <v>3459</v>
      </c>
      <c r="J154" s="3285"/>
      <c r="K154" s="3285"/>
      <c r="L154" s="3285"/>
      <c r="M154" s="3289" t="s">
        <v>3651</v>
      </c>
    </row>
    <row r="155" spans="1:13" hidden="1">
      <c r="A155" s="3282" t="s">
        <v>3478</v>
      </c>
      <c r="B155" s="3284">
        <v>178.97</v>
      </c>
      <c r="C155" s="3282" t="s">
        <v>3455</v>
      </c>
      <c r="E155" s="3282" t="s">
        <v>3456</v>
      </c>
      <c r="J155" s="3285"/>
      <c r="K155" s="3285"/>
      <c r="L155" s="3285"/>
      <c r="M155" s="3289" t="s">
        <v>3651</v>
      </c>
    </row>
    <row r="156" spans="1:13" hidden="1">
      <c r="A156" s="3282" t="s">
        <v>3479</v>
      </c>
      <c r="J156" s="3285"/>
      <c r="K156" s="3285"/>
      <c r="L156" s="3285"/>
      <c r="M156" s="3289" t="s">
        <v>3651</v>
      </c>
    </row>
    <row r="157" spans="1:13" hidden="1">
      <c r="A157" s="3282" t="s">
        <v>3480</v>
      </c>
      <c r="B157" s="3284">
        <v>144.13</v>
      </c>
      <c r="C157" s="3282" t="s">
        <v>3449</v>
      </c>
      <c r="E157" s="3282" t="s">
        <v>3450</v>
      </c>
      <c r="J157" s="3285"/>
      <c r="K157" s="3285"/>
      <c r="L157" s="3285"/>
      <c r="M157" s="3289" t="s">
        <v>3651</v>
      </c>
    </row>
    <row r="158" spans="1:13" hidden="1">
      <c r="A158" s="3282" t="s">
        <v>3481</v>
      </c>
      <c r="B158" s="3284">
        <v>77.8</v>
      </c>
      <c r="C158" s="3282" t="s">
        <v>3452</v>
      </c>
      <c r="E158" s="3282" t="s">
        <v>3453</v>
      </c>
      <c r="J158" s="3285"/>
      <c r="K158" s="3285"/>
      <c r="L158" s="3285"/>
      <c r="M158" s="3289" t="s">
        <v>3651</v>
      </c>
    </row>
    <row r="159" spans="1:13" hidden="1">
      <c r="A159" s="3282" t="s">
        <v>3482</v>
      </c>
      <c r="B159" s="3284">
        <v>178.97</v>
      </c>
      <c r="C159" s="3282" t="s">
        <v>3455</v>
      </c>
      <c r="E159" s="3282" t="s">
        <v>3456</v>
      </c>
      <c r="J159" s="3285"/>
      <c r="K159" s="3285"/>
      <c r="L159" s="3285"/>
      <c r="M159" s="3289" t="s">
        <v>3651</v>
      </c>
    </row>
    <row r="160" spans="1:13" hidden="1">
      <c r="A160" s="3282" t="s">
        <v>3483</v>
      </c>
      <c r="B160" s="3284">
        <v>285.44</v>
      </c>
      <c r="C160" s="3282" t="s">
        <v>3458</v>
      </c>
      <c r="E160" s="3282" t="s">
        <v>3459</v>
      </c>
      <c r="J160" s="3285"/>
      <c r="K160" s="3285"/>
      <c r="L160" s="3285"/>
      <c r="M160" s="3289" t="s">
        <v>3651</v>
      </c>
    </row>
    <row r="161" spans="1:13" hidden="1">
      <c r="A161" s="3282" t="s">
        <v>3484</v>
      </c>
      <c r="B161" s="3284">
        <v>178.97</v>
      </c>
      <c r="C161" s="3282" t="s">
        <v>3455</v>
      </c>
      <c r="E161" s="3282" t="s">
        <v>3456</v>
      </c>
      <c r="J161" s="3285"/>
      <c r="K161" s="3285"/>
      <c r="L161" s="3285"/>
      <c r="M161" s="3289" t="s">
        <v>3651</v>
      </c>
    </row>
    <row r="162" spans="1:13" hidden="1">
      <c r="A162" s="3282" t="s">
        <v>3485</v>
      </c>
      <c r="B162" s="3284">
        <v>144.13</v>
      </c>
      <c r="C162" s="3282" t="s">
        <v>3449</v>
      </c>
      <c r="E162" s="3282" t="s">
        <v>3450</v>
      </c>
      <c r="J162" s="3285"/>
      <c r="K162" s="3285"/>
      <c r="L162" s="3285"/>
      <c r="M162" s="3289" t="s">
        <v>3651</v>
      </c>
    </row>
    <row r="163" spans="1:13" hidden="1">
      <c r="A163" s="3282" t="s">
        <v>3486</v>
      </c>
      <c r="B163" s="3284">
        <v>75</v>
      </c>
      <c r="C163" s="3282" t="s">
        <v>3463</v>
      </c>
      <c r="E163" s="3282" t="s">
        <v>3464</v>
      </c>
      <c r="J163" s="3285"/>
      <c r="K163" s="3285"/>
      <c r="L163" s="3285"/>
      <c r="M163" s="3289" t="s">
        <v>3651</v>
      </c>
    </row>
    <row r="164" spans="1:13" hidden="1">
      <c r="A164" s="3282" t="s">
        <v>3487</v>
      </c>
      <c r="B164" s="3284">
        <v>178.97</v>
      </c>
      <c r="C164" s="3282" t="s">
        <v>3455</v>
      </c>
      <c r="E164" s="3282" t="s">
        <v>3456</v>
      </c>
      <c r="J164" s="3285"/>
      <c r="K164" s="3285"/>
      <c r="L164" s="3285"/>
      <c r="M164" s="3289" t="s">
        <v>3651</v>
      </c>
    </row>
    <row r="165" spans="1:13" hidden="1">
      <c r="A165" s="3282" t="s">
        <v>3488</v>
      </c>
      <c r="B165" s="3284">
        <v>285.44</v>
      </c>
      <c r="C165" s="3282" t="s">
        <v>3458</v>
      </c>
      <c r="E165" s="3282" t="s">
        <v>3459</v>
      </c>
      <c r="J165" s="3285"/>
      <c r="K165" s="3285"/>
      <c r="L165" s="3285"/>
      <c r="M165" s="3289" t="s">
        <v>3651</v>
      </c>
    </row>
    <row r="166" spans="1:13" hidden="1">
      <c r="A166" s="3282" t="s">
        <v>3489</v>
      </c>
      <c r="B166" s="3284">
        <v>178.97</v>
      </c>
      <c r="C166" s="3282" t="s">
        <v>3455</v>
      </c>
      <c r="E166" s="3282" t="s">
        <v>3456</v>
      </c>
      <c r="J166" s="3285"/>
      <c r="K166" s="3285"/>
      <c r="L166" s="3285"/>
      <c r="M166" s="3289" t="s">
        <v>3651</v>
      </c>
    </row>
    <row r="167" spans="1:13" hidden="1">
      <c r="A167" s="3282" t="s">
        <v>3490</v>
      </c>
      <c r="J167" s="3285"/>
      <c r="K167" s="3285"/>
      <c r="L167" s="3285"/>
      <c r="M167" s="3289" t="s">
        <v>3651</v>
      </c>
    </row>
    <row r="168" spans="1:13" hidden="1">
      <c r="A168" s="3282" t="s">
        <v>3491</v>
      </c>
      <c r="B168" s="3284">
        <v>144.13</v>
      </c>
      <c r="C168" s="3282" t="s">
        <v>3449</v>
      </c>
      <c r="E168" s="3282" t="s">
        <v>3450</v>
      </c>
      <c r="J168" s="3285"/>
      <c r="K168" s="3285"/>
      <c r="L168" s="3285"/>
      <c r="M168" s="3289" t="s">
        <v>3651</v>
      </c>
    </row>
    <row r="169" spans="1:13" hidden="1">
      <c r="A169" s="3282" t="s">
        <v>3492</v>
      </c>
      <c r="B169" s="3284">
        <v>77.8</v>
      </c>
      <c r="C169" s="3282" t="s">
        <v>3452</v>
      </c>
      <c r="E169" s="3282" t="s">
        <v>3453</v>
      </c>
      <c r="J169" s="3285"/>
      <c r="K169" s="3285"/>
      <c r="L169" s="3285"/>
      <c r="M169" s="3289" t="s">
        <v>3651</v>
      </c>
    </row>
    <row r="170" spans="1:13" hidden="1">
      <c r="A170" s="3282" t="s">
        <v>3493</v>
      </c>
      <c r="B170" s="3284">
        <v>178.97</v>
      </c>
      <c r="C170" s="3282" t="s">
        <v>3455</v>
      </c>
      <c r="E170" s="3282" t="s">
        <v>3456</v>
      </c>
      <c r="J170" s="3285"/>
      <c r="K170" s="3285"/>
      <c r="L170" s="3285"/>
      <c r="M170" s="3289" t="s">
        <v>3651</v>
      </c>
    </row>
    <row r="171" spans="1:13" hidden="1">
      <c r="A171" s="3282" t="s">
        <v>3494</v>
      </c>
      <c r="B171" s="3284">
        <v>285.44</v>
      </c>
      <c r="C171" s="3282" t="s">
        <v>3458</v>
      </c>
      <c r="E171" s="3282" t="s">
        <v>3459</v>
      </c>
      <c r="J171" s="3285"/>
      <c r="K171" s="3285"/>
      <c r="L171" s="3285"/>
      <c r="M171" s="3289" t="s">
        <v>3651</v>
      </c>
    </row>
    <row r="172" spans="1:13" hidden="1">
      <c r="A172" s="3282" t="s">
        <v>3495</v>
      </c>
      <c r="B172" s="3284">
        <v>178.97</v>
      </c>
      <c r="C172" s="3282" t="s">
        <v>3455</v>
      </c>
      <c r="E172" s="3282" t="s">
        <v>3456</v>
      </c>
      <c r="J172" s="3285"/>
      <c r="K172" s="3285"/>
      <c r="L172" s="3285"/>
      <c r="M172" s="3289" t="s">
        <v>3651</v>
      </c>
    </row>
    <row r="173" spans="1:13" hidden="1">
      <c r="A173" s="3282" t="s">
        <v>3496</v>
      </c>
      <c r="B173" s="3284">
        <v>144.13</v>
      </c>
      <c r="C173" s="3282" t="s">
        <v>3449</v>
      </c>
      <c r="E173" s="3282" t="s">
        <v>3450</v>
      </c>
      <c r="J173" s="3285"/>
      <c r="K173" s="3285"/>
      <c r="L173" s="3285"/>
      <c r="M173" s="3289" t="s">
        <v>3651</v>
      </c>
    </row>
    <row r="174" spans="1:13" hidden="1">
      <c r="A174" s="3282" t="s">
        <v>3497</v>
      </c>
      <c r="B174" s="3284">
        <v>75</v>
      </c>
      <c r="C174" s="3282" t="s">
        <v>3463</v>
      </c>
      <c r="E174" s="3282" t="s">
        <v>3464</v>
      </c>
      <c r="J174" s="3285"/>
      <c r="K174" s="3285"/>
      <c r="L174" s="3285"/>
      <c r="M174" s="3289" t="s">
        <v>3651</v>
      </c>
    </row>
    <row r="175" spans="1:13" hidden="1">
      <c r="A175" s="3282" t="s">
        <v>3498</v>
      </c>
      <c r="B175" s="3284">
        <v>178.97</v>
      </c>
      <c r="C175" s="3282" t="s">
        <v>3455</v>
      </c>
      <c r="E175" s="3282" t="s">
        <v>3456</v>
      </c>
      <c r="J175" s="3285"/>
      <c r="K175" s="3285"/>
      <c r="L175" s="3285"/>
      <c r="M175" s="3289" t="s">
        <v>3651</v>
      </c>
    </row>
    <row r="176" spans="1:13" hidden="1">
      <c r="A176" s="3282" t="s">
        <v>3499</v>
      </c>
      <c r="B176" s="3284">
        <v>285.44</v>
      </c>
      <c r="C176" s="3282" t="s">
        <v>3458</v>
      </c>
      <c r="E176" s="3282" t="s">
        <v>3459</v>
      </c>
      <c r="J176" s="3285"/>
      <c r="K176" s="3285"/>
      <c r="L176" s="3285"/>
      <c r="M176" s="3289" t="s">
        <v>3651</v>
      </c>
    </row>
    <row r="177" spans="1:13" hidden="1">
      <c r="A177" s="3282" t="s">
        <v>3500</v>
      </c>
      <c r="B177" s="3284">
        <v>178.97</v>
      </c>
      <c r="C177" s="3282" t="s">
        <v>3455</v>
      </c>
      <c r="E177" s="3282" t="s">
        <v>3456</v>
      </c>
      <c r="J177" s="3285"/>
      <c r="K177" s="3285"/>
      <c r="L177" s="3285"/>
      <c r="M177" s="3289" t="s">
        <v>3651</v>
      </c>
    </row>
    <row r="178" spans="1:13" hidden="1">
      <c r="A178" s="3282" t="s">
        <v>3501</v>
      </c>
      <c r="J178" s="3285"/>
      <c r="K178" s="3285"/>
      <c r="L178" s="3285"/>
      <c r="M178" s="3289" t="s">
        <v>3651</v>
      </c>
    </row>
    <row r="179" spans="1:13" hidden="1">
      <c r="A179" s="3282" t="s">
        <v>3502</v>
      </c>
      <c r="B179" s="3284">
        <v>36.1</v>
      </c>
      <c r="C179" s="3282" t="s">
        <v>3503</v>
      </c>
      <c r="E179" s="3282" t="s">
        <v>3504</v>
      </c>
      <c r="J179" s="3285"/>
      <c r="K179" s="3285"/>
      <c r="L179" s="3285"/>
      <c r="M179" s="3289" t="s">
        <v>3651</v>
      </c>
    </row>
    <row r="180" spans="1:13" hidden="1">
      <c r="A180" s="3282" t="s">
        <v>3505</v>
      </c>
      <c r="B180" s="3284">
        <v>539.63</v>
      </c>
      <c r="C180" s="3282" t="s">
        <v>3506</v>
      </c>
      <c r="E180" s="3282" t="s">
        <v>3507</v>
      </c>
      <c r="J180" s="3285"/>
      <c r="K180" s="3285"/>
      <c r="L180" s="3285"/>
      <c r="M180" s="3289" t="s">
        <v>3651</v>
      </c>
    </row>
    <row r="181" spans="1:13" hidden="1">
      <c r="A181" s="3282" t="s">
        <v>3508</v>
      </c>
      <c r="B181" s="3284">
        <v>86.79</v>
      </c>
      <c r="C181" s="3282" t="s">
        <v>3509</v>
      </c>
      <c r="E181" s="3282" t="s">
        <v>3510</v>
      </c>
      <c r="J181" s="3285"/>
      <c r="K181" s="3285"/>
      <c r="L181" s="3285"/>
      <c r="M181" s="3289" t="s">
        <v>3651</v>
      </c>
    </row>
    <row r="182" spans="1:13" hidden="1">
      <c r="A182" s="3282" t="s">
        <v>3511</v>
      </c>
      <c r="J182" s="3285"/>
      <c r="K182" s="3285"/>
      <c r="L182" s="3285"/>
      <c r="M182" s="3289" t="s">
        <v>3651</v>
      </c>
    </row>
    <row r="183" spans="1:13" hidden="1">
      <c r="A183" s="3282" t="s">
        <v>3634</v>
      </c>
      <c r="B183" s="3282">
        <v>4761.54</v>
      </c>
      <c r="C183" s="3282">
        <v>3279.88</v>
      </c>
      <c r="E183" s="3282">
        <v>1481.66</v>
      </c>
      <c r="J183" s="3285"/>
      <c r="K183" s="3285"/>
      <c r="L183" s="3285"/>
      <c r="M183" s="3289" t="s">
        <v>3651</v>
      </c>
    </row>
    <row r="184" spans="1:13" hidden="1">
      <c r="A184" s="3282" t="s">
        <v>3635</v>
      </c>
      <c r="J184" s="3285"/>
      <c r="K184" s="3285"/>
      <c r="L184" s="3285"/>
      <c r="M184" s="3289" t="s">
        <v>3651</v>
      </c>
    </row>
    <row r="185" spans="1:13" hidden="1">
      <c r="A185" s="3282" t="s">
        <v>3627</v>
      </c>
      <c r="J185" s="3285"/>
      <c r="K185" s="3285"/>
      <c r="L185" s="3285"/>
      <c r="M185" s="3289" t="s">
        <v>3651</v>
      </c>
    </row>
    <row r="186" spans="1:13" hidden="1">
      <c r="A186" s="3282" t="s">
        <v>3628</v>
      </c>
      <c r="J186" s="3285"/>
      <c r="K186" s="3285"/>
      <c r="L186" s="3285"/>
      <c r="M186" s="3289" t="s">
        <v>3651</v>
      </c>
    </row>
    <row r="187" spans="1:13" hidden="1">
      <c r="A187" s="3282" t="s">
        <v>3279</v>
      </c>
      <c r="B187" s="3282" t="s">
        <v>3629</v>
      </c>
      <c r="C187" s="3282" t="s">
        <v>3280</v>
      </c>
      <c r="G187" s="3282" t="s">
        <v>3630</v>
      </c>
      <c r="J187" s="3285"/>
      <c r="K187" s="3285"/>
      <c r="L187" s="3285"/>
      <c r="M187" s="3289" t="s">
        <v>3651</v>
      </c>
    </row>
    <row r="188" spans="1:13" hidden="1">
      <c r="C188" s="3282" t="s">
        <v>3631</v>
      </c>
      <c r="D188" s="3282" t="s">
        <v>3632</v>
      </c>
      <c r="E188" s="3282" t="s">
        <v>3633</v>
      </c>
      <c r="G188" s="3282">
        <v>0.45174799999999998</v>
      </c>
      <c r="J188" s="3285"/>
      <c r="K188" s="3285"/>
      <c r="L188" s="3285"/>
      <c r="M188" s="3289" t="s">
        <v>3651</v>
      </c>
    </row>
    <row r="189" spans="1:13" hidden="1">
      <c r="G189" s="3282" t="s">
        <v>3281</v>
      </c>
      <c r="J189" s="3285"/>
      <c r="K189" s="3285"/>
      <c r="L189" s="3285"/>
      <c r="M189" s="3289" t="s">
        <v>3651</v>
      </c>
    </row>
    <row r="190" spans="1:13" hidden="1">
      <c r="A190" s="3282" t="s">
        <v>3512</v>
      </c>
      <c r="B190" s="3284">
        <v>440.29</v>
      </c>
      <c r="C190" s="3282" t="s">
        <v>3513</v>
      </c>
      <c r="E190" s="3282" t="s">
        <v>3514</v>
      </c>
      <c r="J190" s="3285"/>
      <c r="K190" s="3285"/>
      <c r="L190" s="3285"/>
      <c r="M190" s="3289" t="s">
        <v>3651</v>
      </c>
    </row>
    <row r="191" spans="1:13" hidden="1">
      <c r="A191" s="3282" t="s">
        <v>3515</v>
      </c>
      <c r="B191" s="3284">
        <v>554.89</v>
      </c>
      <c r="C191" s="3282" t="s">
        <v>3516</v>
      </c>
      <c r="E191" s="3282" t="s">
        <v>3517</v>
      </c>
      <c r="J191" s="3285"/>
      <c r="K191" s="3285"/>
      <c r="L191" s="3285"/>
      <c r="M191" s="3289" t="s">
        <v>3651</v>
      </c>
    </row>
    <row r="192" spans="1:13" hidden="1">
      <c r="A192" s="3282" t="s">
        <v>3518</v>
      </c>
      <c r="B192" s="3284">
        <v>487.54</v>
      </c>
      <c r="C192" s="3282" t="s">
        <v>3519</v>
      </c>
      <c r="E192" s="3282" t="s">
        <v>3520</v>
      </c>
      <c r="J192" s="3285"/>
      <c r="K192" s="3285"/>
      <c r="L192" s="3285"/>
      <c r="M192" s="3289" t="s">
        <v>3651</v>
      </c>
    </row>
    <row r="193" spans="1:13" hidden="1">
      <c r="A193" s="3282" t="s">
        <v>3521</v>
      </c>
      <c r="B193" s="3284">
        <v>435.39</v>
      </c>
      <c r="C193" s="3282" t="s">
        <v>3522</v>
      </c>
      <c r="E193" s="3282" t="s">
        <v>3523</v>
      </c>
      <c r="J193" s="3285"/>
      <c r="K193" s="3285"/>
      <c r="L193" s="3285"/>
      <c r="M193" s="3289" t="s">
        <v>3651</v>
      </c>
    </row>
    <row r="194" spans="1:13" hidden="1">
      <c r="A194" s="3282" t="s">
        <v>3524</v>
      </c>
      <c r="J194" s="3285"/>
      <c r="K194" s="3285"/>
      <c r="L194" s="3285"/>
      <c r="M194" s="3289" t="s">
        <v>3651</v>
      </c>
    </row>
    <row r="195" spans="1:13" hidden="1">
      <c r="A195" s="3282" t="s">
        <v>3525</v>
      </c>
      <c r="B195" s="3284">
        <v>440.29</v>
      </c>
      <c r="C195" s="3282" t="s">
        <v>3513</v>
      </c>
      <c r="E195" s="3282" t="s">
        <v>3514</v>
      </c>
      <c r="J195" s="3285"/>
      <c r="K195" s="3285"/>
      <c r="L195" s="3285"/>
      <c r="M195" s="3289" t="s">
        <v>3651</v>
      </c>
    </row>
    <row r="196" spans="1:13" hidden="1">
      <c r="A196" s="3282" t="s">
        <v>3526</v>
      </c>
      <c r="B196" s="3284">
        <v>554.89</v>
      </c>
      <c r="C196" s="3282" t="s">
        <v>3516</v>
      </c>
      <c r="E196" s="3282" t="s">
        <v>3517</v>
      </c>
      <c r="J196" s="3285"/>
      <c r="K196" s="3285"/>
      <c r="L196" s="3285"/>
      <c r="M196" s="3289" t="s">
        <v>3651</v>
      </c>
    </row>
    <row r="197" spans="1:13" hidden="1">
      <c r="A197" s="3282" t="s">
        <v>3527</v>
      </c>
      <c r="B197" s="3284">
        <v>487.54</v>
      </c>
      <c r="C197" s="3282" t="s">
        <v>3519</v>
      </c>
      <c r="E197" s="3282" t="s">
        <v>3520</v>
      </c>
      <c r="J197" s="3285"/>
      <c r="K197" s="3285"/>
      <c r="L197" s="3285"/>
      <c r="M197" s="3289" t="s">
        <v>3651</v>
      </c>
    </row>
    <row r="198" spans="1:13" hidden="1">
      <c r="A198" s="3282" t="s">
        <v>3528</v>
      </c>
      <c r="B198" s="3284">
        <v>435.39</v>
      </c>
      <c r="C198" s="3282" t="s">
        <v>3522</v>
      </c>
      <c r="E198" s="3282" t="s">
        <v>3523</v>
      </c>
      <c r="J198" s="3285"/>
      <c r="K198" s="3285"/>
      <c r="L198" s="3285"/>
      <c r="M198" s="3289" t="s">
        <v>3651</v>
      </c>
    </row>
    <row r="199" spans="1:13" hidden="1">
      <c r="A199" s="3282" t="s">
        <v>3529</v>
      </c>
      <c r="J199" s="3285"/>
      <c r="K199" s="3285"/>
      <c r="L199" s="3285"/>
      <c r="M199" s="3289" t="s">
        <v>3651</v>
      </c>
    </row>
    <row r="200" spans="1:13" hidden="1">
      <c r="A200" s="3282" t="s">
        <v>3530</v>
      </c>
      <c r="B200" s="3284">
        <v>440.29</v>
      </c>
      <c r="C200" s="3282" t="s">
        <v>3513</v>
      </c>
      <c r="E200" s="3282" t="s">
        <v>3514</v>
      </c>
      <c r="J200" s="3285"/>
      <c r="K200" s="3285"/>
      <c r="L200" s="3285"/>
      <c r="M200" s="3289" t="s">
        <v>3651</v>
      </c>
    </row>
    <row r="201" spans="1:13" hidden="1">
      <c r="A201" s="3282" t="s">
        <v>3531</v>
      </c>
      <c r="B201" s="3284">
        <v>554.89</v>
      </c>
      <c r="C201" s="3282" t="s">
        <v>3516</v>
      </c>
      <c r="E201" s="3282" t="s">
        <v>3517</v>
      </c>
      <c r="J201" s="3285"/>
      <c r="K201" s="3285"/>
      <c r="L201" s="3285"/>
      <c r="M201" s="3289" t="s">
        <v>3651</v>
      </c>
    </row>
    <row r="202" spans="1:13" hidden="1">
      <c r="A202" s="3282" t="s">
        <v>3532</v>
      </c>
      <c r="B202" s="3284">
        <v>487.54</v>
      </c>
      <c r="C202" s="3282" t="s">
        <v>3519</v>
      </c>
      <c r="E202" s="3282" t="s">
        <v>3520</v>
      </c>
      <c r="J202" s="3285"/>
      <c r="K202" s="3285"/>
      <c r="L202" s="3285"/>
      <c r="M202" s="3289" t="s">
        <v>3651</v>
      </c>
    </row>
    <row r="203" spans="1:13" hidden="1">
      <c r="A203" s="3282" t="s">
        <v>3533</v>
      </c>
      <c r="B203" s="3284">
        <v>435.39</v>
      </c>
      <c r="C203" s="3282" t="s">
        <v>3522</v>
      </c>
      <c r="E203" s="3282" t="s">
        <v>3523</v>
      </c>
      <c r="J203" s="3285"/>
      <c r="K203" s="3285"/>
      <c r="L203" s="3285"/>
      <c r="M203" s="3289" t="s">
        <v>3651</v>
      </c>
    </row>
    <row r="204" spans="1:13" hidden="1">
      <c r="A204" s="3282" t="s">
        <v>3534</v>
      </c>
      <c r="J204" s="3285"/>
      <c r="K204" s="3285"/>
      <c r="L204" s="3285"/>
      <c r="M204" s="3289" t="s">
        <v>3651</v>
      </c>
    </row>
    <row r="205" spans="1:13" hidden="1">
      <c r="A205" s="3282" t="s">
        <v>3535</v>
      </c>
      <c r="B205" s="3284">
        <v>440.29</v>
      </c>
      <c r="C205" s="3282" t="s">
        <v>3513</v>
      </c>
      <c r="E205" s="3282" t="s">
        <v>3514</v>
      </c>
      <c r="J205" s="3285"/>
      <c r="K205" s="3285"/>
      <c r="L205" s="3285"/>
      <c r="M205" s="3289" t="s">
        <v>3651</v>
      </c>
    </row>
    <row r="206" spans="1:13" hidden="1">
      <c r="A206" s="3282" t="s">
        <v>3536</v>
      </c>
      <c r="B206" s="3284">
        <v>554.89</v>
      </c>
      <c r="C206" s="3282" t="s">
        <v>3516</v>
      </c>
      <c r="E206" s="3282" t="s">
        <v>3517</v>
      </c>
      <c r="J206" s="3285"/>
      <c r="K206" s="3285"/>
      <c r="L206" s="3285"/>
      <c r="M206" s="3289" t="s">
        <v>3651</v>
      </c>
    </row>
    <row r="207" spans="1:13" hidden="1">
      <c r="A207" s="3282" t="s">
        <v>3537</v>
      </c>
      <c r="B207" s="3284">
        <v>487.54</v>
      </c>
      <c r="C207" s="3282" t="s">
        <v>3519</v>
      </c>
      <c r="E207" s="3282" t="s">
        <v>3520</v>
      </c>
      <c r="J207" s="3285"/>
      <c r="K207" s="3285"/>
      <c r="L207" s="3285"/>
      <c r="M207" s="3289" t="s">
        <v>3651</v>
      </c>
    </row>
    <row r="208" spans="1:13" hidden="1">
      <c r="A208" s="3282" t="s">
        <v>3538</v>
      </c>
      <c r="B208" s="3284">
        <v>435.39</v>
      </c>
      <c r="C208" s="3282" t="s">
        <v>3522</v>
      </c>
      <c r="E208" s="3282" t="s">
        <v>3523</v>
      </c>
      <c r="J208" s="3285"/>
      <c r="K208" s="3285"/>
      <c r="L208" s="3285"/>
      <c r="M208" s="3289" t="s">
        <v>3651</v>
      </c>
    </row>
    <row r="209" spans="1:13" hidden="1">
      <c r="A209" s="3282" t="s">
        <v>3539</v>
      </c>
      <c r="J209" s="3285"/>
      <c r="K209" s="3285"/>
      <c r="L209" s="3285"/>
      <c r="M209" s="3289" t="s">
        <v>3651</v>
      </c>
    </row>
    <row r="210" spans="1:13" hidden="1">
      <c r="A210" s="3282" t="s">
        <v>3540</v>
      </c>
      <c r="B210" s="3284">
        <v>441.91</v>
      </c>
      <c r="C210" s="3282" t="s">
        <v>3541</v>
      </c>
      <c r="E210" s="3282" t="s">
        <v>3542</v>
      </c>
      <c r="J210" s="3285"/>
      <c r="K210" s="3285"/>
      <c r="L210" s="3285"/>
      <c r="M210" s="3289" t="s">
        <v>3651</v>
      </c>
    </row>
    <row r="211" spans="1:13" hidden="1">
      <c r="A211" s="3282" t="s">
        <v>3543</v>
      </c>
      <c r="B211" s="3284">
        <v>557.02</v>
      </c>
      <c r="C211" s="3282" t="s">
        <v>3544</v>
      </c>
      <c r="E211" s="3282" t="s">
        <v>3545</v>
      </c>
      <c r="J211" s="3285"/>
      <c r="K211" s="3285"/>
      <c r="L211" s="3285"/>
      <c r="M211" s="3289" t="s">
        <v>3651</v>
      </c>
    </row>
    <row r="212" spans="1:13" hidden="1">
      <c r="A212" s="3282" t="s">
        <v>3546</v>
      </c>
      <c r="B212" s="3284">
        <v>488.46</v>
      </c>
      <c r="C212" s="3282" t="s">
        <v>3547</v>
      </c>
      <c r="E212" s="3282" t="s">
        <v>3548</v>
      </c>
      <c r="J212" s="3285"/>
      <c r="K212" s="3285"/>
      <c r="L212" s="3285"/>
      <c r="M212" s="3289" t="s">
        <v>3651</v>
      </c>
    </row>
    <row r="213" spans="1:13" hidden="1">
      <c r="A213" s="3282" t="s">
        <v>3549</v>
      </c>
      <c r="B213" s="3284">
        <v>437.61</v>
      </c>
      <c r="C213" s="3282" t="s">
        <v>3550</v>
      </c>
      <c r="E213" s="3282" t="s">
        <v>3551</v>
      </c>
      <c r="J213" s="3285"/>
      <c r="K213" s="3285"/>
      <c r="L213" s="3285"/>
      <c r="M213" s="3289" t="s">
        <v>3651</v>
      </c>
    </row>
    <row r="214" spans="1:13" hidden="1">
      <c r="A214" s="3282" t="s">
        <v>3552</v>
      </c>
      <c r="J214" s="3285"/>
      <c r="K214" s="3285"/>
      <c r="L214" s="3285"/>
      <c r="M214" s="3289" t="s">
        <v>3651</v>
      </c>
    </row>
    <row r="215" spans="1:13" hidden="1">
      <c r="A215" s="3282" t="s">
        <v>3553</v>
      </c>
      <c r="B215" s="3284">
        <v>441.91</v>
      </c>
      <c r="C215" s="3282" t="s">
        <v>3541</v>
      </c>
      <c r="E215" s="3282" t="s">
        <v>3542</v>
      </c>
      <c r="J215" s="3285"/>
      <c r="K215" s="3285"/>
      <c r="L215" s="3285"/>
      <c r="M215" s="3289" t="s">
        <v>3651</v>
      </c>
    </row>
    <row r="216" spans="1:13" hidden="1">
      <c r="A216" s="3282" t="s">
        <v>3554</v>
      </c>
      <c r="B216" s="3284">
        <v>557.02</v>
      </c>
      <c r="C216" s="3282" t="s">
        <v>3544</v>
      </c>
      <c r="E216" s="3282" t="s">
        <v>3545</v>
      </c>
      <c r="J216" s="3285"/>
      <c r="K216" s="3285"/>
      <c r="L216" s="3285"/>
      <c r="M216" s="3289" t="s">
        <v>3651</v>
      </c>
    </row>
    <row r="217" spans="1:13" hidden="1">
      <c r="A217" s="3282" t="s">
        <v>3555</v>
      </c>
      <c r="B217" s="3284">
        <v>488.46</v>
      </c>
      <c r="C217" s="3282" t="s">
        <v>3547</v>
      </c>
      <c r="E217" s="3282" t="s">
        <v>3548</v>
      </c>
      <c r="J217" s="3285"/>
      <c r="K217" s="3285"/>
      <c r="L217" s="3285"/>
      <c r="M217" s="3289" t="s">
        <v>3651</v>
      </c>
    </row>
    <row r="218" spans="1:13" hidden="1">
      <c r="A218" s="3282" t="s">
        <v>3556</v>
      </c>
      <c r="B218" s="3284">
        <v>437.61</v>
      </c>
      <c r="C218" s="3282" t="s">
        <v>3550</v>
      </c>
      <c r="E218" s="3282" t="s">
        <v>3551</v>
      </c>
      <c r="J218" s="3285"/>
      <c r="K218" s="3285"/>
      <c r="L218" s="3285"/>
      <c r="M218" s="3289" t="s">
        <v>3651</v>
      </c>
    </row>
    <row r="219" spans="1:13" hidden="1">
      <c r="A219" s="3282" t="s">
        <v>3557</v>
      </c>
      <c r="J219" s="3285"/>
      <c r="K219" s="3285"/>
      <c r="L219" s="3285"/>
      <c r="M219" s="3289" t="s">
        <v>3651</v>
      </c>
    </row>
    <row r="220" spans="1:13" hidden="1">
      <c r="A220" s="3282" t="s">
        <v>3634</v>
      </c>
      <c r="B220" s="3282">
        <v>11522.44</v>
      </c>
      <c r="C220" s="3282">
        <v>7936.94</v>
      </c>
      <c r="E220" s="3282">
        <v>3585.5</v>
      </c>
      <c r="J220" s="3285"/>
      <c r="K220" s="3285"/>
      <c r="L220" s="3285"/>
      <c r="M220" s="3289" t="s">
        <v>3651</v>
      </c>
    </row>
    <row r="221" spans="1:13" hidden="1">
      <c r="A221" s="3282" t="s">
        <v>3635</v>
      </c>
      <c r="J221" s="3285"/>
      <c r="K221" s="3285"/>
      <c r="L221" s="3285"/>
      <c r="M221" s="3289" t="s">
        <v>3651</v>
      </c>
    </row>
    <row r="222" spans="1:13" hidden="1">
      <c r="A222" s="3282" t="s">
        <v>3627</v>
      </c>
      <c r="J222" s="3285"/>
      <c r="K222" s="3285"/>
      <c r="L222" s="3285"/>
      <c r="M222" s="3289" t="s">
        <v>3651</v>
      </c>
    </row>
    <row r="223" spans="1:13" hidden="1">
      <c r="A223" s="3282" t="s">
        <v>3628</v>
      </c>
      <c r="J223" s="3285"/>
      <c r="K223" s="3285"/>
      <c r="L223" s="3285"/>
      <c r="M223" s="3289" t="s">
        <v>3651</v>
      </c>
    </row>
    <row r="224" spans="1:13" hidden="1">
      <c r="A224" s="3282" t="s">
        <v>3279</v>
      </c>
      <c r="B224" s="3282" t="s">
        <v>3629</v>
      </c>
      <c r="C224" s="3282" t="s">
        <v>3280</v>
      </c>
      <c r="G224" s="3282" t="s">
        <v>3630</v>
      </c>
      <c r="J224" s="3285"/>
      <c r="K224" s="3285"/>
      <c r="L224" s="3285"/>
      <c r="M224" s="3289" t="s">
        <v>3651</v>
      </c>
    </row>
    <row r="225" spans="1:13" hidden="1">
      <c r="C225" s="3282" t="s">
        <v>3631</v>
      </c>
      <c r="D225" s="3282" t="s">
        <v>3632</v>
      </c>
      <c r="E225" s="3282" t="s">
        <v>3633</v>
      </c>
      <c r="G225" s="3282">
        <v>0.45174799999999998</v>
      </c>
      <c r="J225" s="3285"/>
      <c r="K225" s="3285"/>
      <c r="L225" s="3285"/>
      <c r="M225" s="3289" t="s">
        <v>3651</v>
      </c>
    </row>
    <row r="226" spans="1:13" hidden="1">
      <c r="G226" s="3282" t="s">
        <v>3281</v>
      </c>
      <c r="J226" s="3285"/>
      <c r="K226" s="3285"/>
      <c r="L226" s="3285"/>
      <c r="M226" s="3289" t="s">
        <v>3651</v>
      </c>
    </row>
    <row r="227" spans="1:13" hidden="1">
      <c r="A227" s="3282" t="s">
        <v>3558</v>
      </c>
      <c r="B227" s="3284">
        <v>441.91</v>
      </c>
      <c r="C227" s="3282" t="s">
        <v>3541</v>
      </c>
      <c r="E227" s="3282" t="s">
        <v>3542</v>
      </c>
      <c r="J227" s="3285"/>
      <c r="K227" s="3285"/>
      <c r="L227" s="3285"/>
      <c r="M227" s="3289" t="s">
        <v>3651</v>
      </c>
    </row>
    <row r="228" spans="1:13" hidden="1">
      <c r="A228" s="3282" t="s">
        <v>3559</v>
      </c>
      <c r="B228" s="3284">
        <v>557.02</v>
      </c>
      <c r="C228" s="3282" t="s">
        <v>3544</v>
      </c>
      <c r="E228" s="3282" t="s">
        <v>3545</v>
      </c>
      <c r="J228" s="3285"/>
      <c r="K228" s="3285"/>
      <c r="L228" s="3285"/>
      <c r="M228" s="3289" t="s">
        <v>3651</v>
      </c>
    </row>
    <row r="229" spans="1:13" hidden="1">
      <c r="A229" s="3282" t="s">
        <v>3560</v>
      </c>
      <c r="B229" s="3284">
        <v>488.46</v>
      </c>
      <c r="C229" s="3282" t="s">
        <v>3547</v>
      </c>
      <c r="E229" s="3282" t="s">
        <v>3548</v>
      </c>
      <c r="J229" s="3285"/>
      <c r="K229" s="3285"/>
      <c r="L229" s="3285"/>
      <c r="M229" s="3289" t="s">
        <v>3651</v>
      </c>
    </row>
    <row r="230" spans="1:13" hidden="1">
      <c r="A230" s="3282" t="s">
        <v>3561</v>
      </c>
      <c r="B230" s="3284">
        <v>437.61</v>
      </c>
      <c r="C230" s="3282" t="s">
        <v>3550</v>
      </c>
      <c r="E230" s="3282" t="s">
        <v>3551</v>
      </c>
      <c r="J230" s="3285"/>
      <c r="K230" s="3285"/>
      <c r="L230" s="3285"/>
      <c r="M230" s="3289" t="s">
        <v>3651</v>
      </c>
    </row>
    <row r="231" spans="1:13" hidden="1">
      <c r="A231" s="3282" t="s">
        <v>3562</v>
      </c>
      <c r="J231" s="3285"/>
      <c r="K231" s="3285"/>
      <c r="L231" s="3285"/>
      <c r="M231" s="3289" t="s">
        <v>3651</v>
      </c>
    </row>
    <row r="232" spans="1:13" hidden="1">
      <c r="A232" s="3282" t="s">
        <v>3563</v>
      </c>
      <c r="B232" s="3284">
        <v>441.91</v>
      </c>
      <c r="C232" s="3282" t="s">
        <v>3541</v>
      </c>
      <c r="E232" s="3282" t="s">
        <v>3542</v>
      </c>
      <c r="J232" s="3285"/>
      <c r="K232" s="3285"/>
      <c r="L232" s="3285"/>
      <c r="M232" s="3289" t="s">
        <v>3651</v>
      </c>
    </row>
    <row r="233" spans="1:13" hidden="1">
      <c r="A233" s="3282" t="s">
        <v>3564</v>
      </c>
      <c r="B233" s="3284">
        <v>557.02</v>
      </c>
      <c r="C233" s="3282" t="s">
        <v>3544</v>
      </c>
      <c r="E233" s="3282" t="s">
        <v>3545</v>
      </c>
      <c r="J233" s="3285"/>
      <c r="K233" s="3285"/>
      <c r="L233" s="3285"/>
      <c r="M233" s="3289" t="s">
        <v>3651</v>
      </c>
    </row>
    <row r="234" spans="1:13" hidden="1">
      <c r="A234" s="3282" t="s">
        <v>3565</v>
      </c>
      <c r="B234" s="3284">
        <v>488.46</v>
      </c>
      <c r="C234" s="3282" t="s">
        <v>3547</v>
      </c>
      <c r="E234" s="3282" t="s">
        <v>3548</v>
      </c>
      <c r="J234" s="3285"/>
      <c r="K234" s="3285"/>
      <c r="L234" s="3285"/>
      <c r="M234" s="3289" t="s">
        <v>3651</v>
      </c>
    </row>
    <row r="235" spans="1:13" hidden="1">
      <c r="A235" s="3282" t="s">
        <v>3566</v>
      </c>
      <c r="B235" s="3284">
        <v>437.61</v>
      </c>
      <c r="C235" s="3282" t="s">
        <v>3550</v>
      </c>
      <c r="E235" s="3282" t="s">
        <v>3551</v>
      </c>
      <c r="J235" s="3285"/>
      <c r="K235" s="3285"/>
      <c r="L235" s="3285"/>
      <c r="M235" s="3289" t="s">
        <v>3651</v>
      </c>
    </row>
    <row r="236" spans="1:13" hidden="1">
      <c r="A236" s="3282" t="s">
        <v>3567</v>
      </c>
      <c r="J236" s="3285"/>
      <c r="K236" s="3285"/>
      <c r="L236" s="3285"/>
      <c r="M236" s="3289" t="s">
        <v>3651</v>
      </c>
    </row>
    <row r="237" spans="1:13" hidden="1">
      <c r="A237" s="3282" t="s">
        <v>3568</v>
      </c>
      <c r="B237" s="3284">
        <v>441.91</v>
      </c>
      <c r="C237" s="3282" t="s">
        <v>3541</v>
      </c>
      <c r="E237" s="3282" t="s">
        <v>3542</v>
      </c>
      <c r="J237" s="3285"/>
      <c r="K237" s="3285"/>
      <c r="L237" s="3285"/>
      <c r="M237" s="3289" t="s">
        <v>3651</v>
      </c>
    </row>
    <row r="238" spans="1:13" hidden="1">
      <c r="A238" s="3282" t="s">
        <v>3569</v>
      </c>
      <c r="B238" s="3284">
        <v>557.02</v>
      </c>
      <c r="C238" s="3282" t="s">
        <v>3544</v>
      </c>
      <c r="E238" s="3282" t="s">
        <v>3545</v>
      </c>
      <c r="J238" s="3285"/>
      <c r="K238" s="3285"/>
      <c r="L238" s="3285"/>
      <c r="M238" s="3289" t="s">
        <v>3651</v>
      </c>
    </row>
    <row r="239" spans="1:13" hidden="1">
      <c r="A239" s="3282" t="s">
        <v>3570</v>
      </c>
      <c r="B239" s="3284">
        <v>488.46</v>
      </c>
      <c r="C239" s="3282" t="s">
        <v>3547</v>
      </c>
      <c r="E239" s="3282" t="s">
        <v>3548</v>
      </c>
      <c r="J239" s="3285"/>
      <c r="K239" s="3285"/>
      <c r="L239" s="3285"/>
      <c r="M239" s="3289" t="s">
        <v>3651</v>
      </c>
    </row>
    <row r="240" spans="1:13" hidden="1">
      <c r="A240" s="3282" t="s">
        <v>3571</v>
      </c>
      <c r="B240" s="3284">
        <v>437.61</v>
      </c>
      <c r="C240" s="3282" t="s">
        <v>3550</v>
      </c>
      <c r="E240" s="3282" t="s">
        <v>3551</v>
      </c>
      <c r="J240" s="3285"/>
      <c r="K240" s="3285"/>
      <c r="L240" s="3285"/>
      <c r="M240" s="3289" t="s">
        <v>3651</v>
      </c>
    </row>
    <row r="241" spans="1:13" hidden="1">
      <c r="A241" s="3282" t="s">
        <v>3572</v>
      </c>
      <c r="J241" s="3285"/>
      <c r="K241" s="3285"/>
      <c r="L241" s="3285"/>
      <c r="M241" s="3289" t="s">
        <v>3651</v>
      </c>
    </row>
    <row r="242" spans="1:13" hidden="1">
      <c r="A242" s="3282" t="s">
        <v>3573</v>
      </c>
      <c r="B242" s="3284">
        <v>441.91</v>
      </c>
      <c r="C242" s="3282" t="s">
        <v>3541</v>
      </c>
      <c r="E242" s="3282" t="s">
        <v>3542</v>
      </c>
      <c r="J242" s="3285"/>
      <c r="K242" s="3285"/>
      <c r="L242" s="3285"/>
      <c r="M242" s="3289" t="s">
        <v>3651</v>
      </c>
    </row>
    <row r="243" spans="1:13" hidden="1">
      <c r="A243" s="3282" t="s">
        <v>3574</v>
      </c>
      <c r="B243" s="3284">
        <v>557.02</v>
      </c>
      <c r="C243" s="3282" t="s">
        <v>3544</v>
      </c>
      <c r="E243" s="3282" t="s">
        <v>3545</v>
      </c>
      <c r="J243" s="3285"/>
      <c r="K243" s="3285"/>
      <c r="L243" s="3285"/>
      <c r="M243" s="3289" t="s">
        <v>3651</v>
      </c>
    </row>
    <row r="244" spans="1:13" hidden="1">
      <c r="A244" s="3282" t="s">
        <v>3575</v>
      </c>
      <c r="B244" s="3284">
        <v>488.46</v>
      </c>
      <c r="C244" s="3282" t="s">
        <v>3547</v>
      </c>
      <c r="E244" s="3282" t="s">
        <v>3548</v>
      </c>
      <c r="J244" s="3285"/>
      <c r="K244" s="3285"/>
      <c r="L244" s="3285"/>
      <c r="M244" s="3289" t="s">
        <v>3651</v>
      </c>
    </row>
    <row r="245" spans="1:13" hidden="1">
      <c r="A245" s="3282" t="s">
        <v>3576</v>
      </c>
      <c r="B245" s="3284">
        <v>437.61</v>
      </c>
      <c r="C245" s="3282" t="s">
        <v>3550</v>
      </c>
      <c r="E245" s="3282" t="s">
        <v>3551</v>
      </c>
      <c r="J245" s="3285"/>
      <c r="K245" s="3285"/>
      <c r="L245" s="3285"/>
      <c r="M245" s="3289" t="s">
        <v>3651</v>
      </c>
    </row>
    <row r="246" spans="1:13" hidden="1">
      <c r="A246" s="3282" t="s">
        <v>3577</v>
      </c>
      <c r="J246" s="3285"/>
      <c r="K246" s="3285"/>
      <c r="L246" s="3285"/>
      <c r="M246" s="3289" t="s">
        <v>3651</v>
      </c>
    </row>
    <row r="247" spans="1:13" hidden="1">
      <c r="A247" s="3282" t="s">
        <v>3578</v>
      </c>
      <c r="B247" s="3284">
        <v>913.98</v>
      </c>
      <c r="C247" s="3282" t="s">
        <v>3579</v>
      </c>
      <c r="E247" s="3282" t="s">
        <v>3580</v>
      </c>
      <c r="J247" s="3285"/>
      <c r="K247" s="3285"/>
      <c r="L247" s="3285"/>
      <c r="M247" s="3289" t="s">
        <v>3651</v>
      </c>
    </row>
    <row r="248" spans="1:13" hidden="1">
      <c r="A248" s="3282" t="s">
        <v>3581</v>
      </c>
      <c r="B248" s="3284">
        <v>1163.05</v>
      </c>
      <c r="C248" s="3282" t="s">
        <v>3582</v>
      </c>
      <c r="E248" s="3282" t="s">
        <v>3583</v>
      </c>
      <c r="J248" s="3285"/>
      <c r="K248" s="3285"/>
      <c r="L248" s="3285"/>
      <c r="M248" s="3289" t="s">
        <v>3651</v>
      </c>
    </row>
    <row r="249" spans="1:13" hidden="1">
      <c r="A249" s="3282" t="s">
        <v>3584</v>
      </c>
      <c r="J249" s="3285"/>
      <c r="K249" s="3285"/>
      <c r="L249" s="3285"/>
      <c r="M249" s="3289" t="s">
        <v>3651</v>
      </c>
    </row>
    <row r="250" spans="1:13" hidden="1">
      <c r="A250" s="3282" t="s">
        <v>3585</v>
      </c>
      <c r="B250" s="3284">
        <v>913.98</v>
      </c>
      <c r="C250" s="3282" t="s">
        <v>3579</v>
      </c>
      <c r="E250" s="3282" t="s">
        <v>3580</v>
      </c>
      <c r="J250" s="3285"/>
      <c r="K250" s="3285"/>
      <c r="L250" s="3285"/>
      <c r="M250" s="3289" t="s">
        <v>3651</v>
      </c>
    </row>
    <row r="251" spans="1:13" hidden="1">
      <c r="A251" s="3282" t="s">
        <v>3586</v>
      </c>
      <c r="B251" s="3284">
        <v>1163.05</v>
      </c>
      <c r="C251" s="3282" t="s">
        <v>3582</v>
      </c>
      <c r="E251" s="3282" t="s">
        <v>3583</v>
      </c>
      <c r="J251" s="3285"/>
      <c r="K251" s="3285"/>
      <c r="L251" s="3285"/>
      <c r="M251" s="3289" t="s">
        <v>3651</v>
      </c>
    </row>
    <row r="252" spans="1:13" hidden="1">
      <c r="A252" s="3282" t="s">
        <v>3587</v>
      </c>
      <c r="J252" s="3285"/>
      <c r="K252" s="3285"/>
      <c r="L252" s="3285"/>
      <c r="M252" s="3289" t="s">
        <v>3651</v>
      </c>
    </row>
    <row r="253" spans="1:13" hidden="1">
      <c r="A253" s="3282" t="s">
        <v>3588</v>
      </c>
      <c r="B253" s="3284">
        <v>917.07</v>
      </c>
      <c r="C253" s="3282" t="s">
        <v>3589</v>
      </c>
      <c r="E253" s="3282" t="s">
        <v>3590</v>
      </c>
      <c r="J253" s="3285"/>
      <c r="K253" s="3285"/>
      <c r="L253" s="3285"/>
      <c r="M253" s="3289" t="s">
        <v>3651</v>
      </c>
    </row>
    <row r="254" spans="1:13" hidden="1">
      <c r="A254" s="3282" t="s">
        <v>3591</v>
      </c>
      <c r="B254" s="3284">
        <v>1165.96</v>
      </c>
      <c r="C254" s="3282" t="s">
        <v>3592</v>
      </c>
      <c r="E254" s="3282" t="s">
        <v>3593</v>
      </c>
      <c r="J254" s="3285"/>
      <c r="K254" s="3285"/>
      <c r="L254" s="3285"/>
      <c r="M254" s="3289" t="s">
        <v>3651</v>
      </c>
    </row>
    <row r="255" spans="1:13" hidden="1">
      <c r="A255" s="3282" t="s">
        <v>3594</v>
      </c>
      <c r="J255" s="3285"/>
      <c r="K255" s="3285"/>
      <c r="L255" s="3285"/>
      <c r="M255" s="3289" t="s">
        <v>3651</v>
      </c>
    </row>
    <row r="256" spans="1:13" hidden="1">
      <c r="A256" s="3282" t="s">
        <v>3595</v>
      </c>
      <c r="B256" s="3284">
        <v>917.07</v>
      </c>
      <c r="C256" s="3282" t="s">
        <v>3589</v>
      </c>
      <c r="E256" s="3282" t="s">
        <v>3590</v>
      </c>
      <c r="J256" s="3285"/>
      <c r="K256" s="3285"/>
      <c r="L256" s="3285"/>
      <c r="M256" s="3289" t="s">
        <v>3651</v>
      </c>
    </row>
    <row r="257" spans="1:13" hidden="1">
      <c r="A257" s="3282" t="s">
        <v>3634</v>
      </c>
      <c r="B257" s="3282">
        <v>14854.16</v>
      </c>
      <c r="C257" s="3282">
        <v>10231.92</v>
      </c>
      <c r="E257" s="3282">
        <v>4622.24</v>
      </c>
      <c r="J257" s="3285"/>
      <c r="K257" s="3285"/>
      <c r="L257" s="3285"/>
      <c r="M257" s="3289" t="s">
        <v>3651</v>
      </c>
    </row>
    <row r="258" spans="1:13" hidden="1">
      <c r="A258" s="3282" t="s">
        <v>3635</v>
      </c>
      <c r="J258" s="3285"/>
      <c r="K258" s="3285"/>
      <c r="L258" s="3285"/>
      <c r="M258" s="3289" t="s">
        <v>3651</v>
      </c>
    </row>
    <row r="259" spans="1:13" hidden="1">
      <c r="A259" s="3282" t="s">
        <v>3627</v>
      </c>
      <c r="J259" s="3285"/>
      <c r="K259" s="3285"/>
      <c r="L259" s="3285"/>
      <c r="M259" s="3289" t="s">
        <v>3651</v>
      </c>
    </row>
    <row r="260" spans="1:13" hidden="1">
      <c r="A260" s="3282" t="s">
        <v>3628</v>
      </c>
      <c r="J260" s="3285"/>
      <c r="K260" s="3285"/>
      <c r="L260" s="3285"/>
      <c r="M260" s="3289" t="s">
        <v>3651</v>
      </c>
    </row>
    <row r="261" spans="1:13" hidden="1">
      <c r="A261" s="3282" t="s">
        <v>3279</v>
      </c>
      <c r="B261" s="3282" t="s">
        <v>3629</v>
      </c>
      <c r="C261" s="3282" t="s">
        <v>3280</v>
      </c>
      <c r="G261" s="3282" t="s">
        <v>3630</v>
      </c>
      <c r="J261" s="3285"/>
      <c r="K261" s="3285"/>
      <c r="L261" s="3285"/>
      <c r="M261" s="3289" t="s">
        <v>3651</v>
      </c>
    </row>
    <row r="262" spans="1:13" hidden="1">
      <c r="C262" s="3282" t="s">
        <v>3631</v>
      </c>
      <c r="D262" s="3282" t="s">
        <v>3632</v>
      </c>
      <c r="E262" s="3282" t="s">
        <v>3633</v>
      </c>
      <c r="G262" s="3282">
        <v>0.45174799999999998</v>
      </c>
      <c r="J262" s="3285"/>
      <c r="K262" s="3285"/>
      <c r="L262" s="3285"/>
      <c r="M262" s="3289" t="s">
        <v>3651</v>
      </c>
    </row>
    <row r="263" spans="1:13" hidden="1">
      <c r="G263" s="3282" t="s">
        <v>3281</v>
      </c>
      <c r="J263" s="3285"/>
      <c r="K263" s="3285"/>
      <c r="L263" s="3285"/>
      <c r="M263" s="3289" t="s">
        <v>3651</v>
      </c>
    </row>
    <row r="264" spans="1:13" hidden="1">
      <c r="A264" s="3282" t="s">
        <v>3596</v>
      </c>
      <c r="B264" s="3284">
        <v>1165.96</v>
      </c>
      <c r="C264" s="3282" t="s">
        <v>3592</v>
      </c>
      <c r="E264" s="3282" t="s">
        <v>3593</v>
      </c>
      <c r="J264" s="3285"/>
      <c r="K264" s="3285"/>
      <c r="L264" s="3285"/>
      <c r="M264" s="3289" t="s">
        <v>3651</v>
      </c>
    </row>
    <row r="265" spans="1:13">
      <c r="A265" s="3282" t="s">
        <v>3597</v>
      </c>
      <c r="J265" s="3285" t="str">
        <f>A277</f>
        <v>32层(32)</v>
      </c>
      <c r="K265" s="3285"/>
      <c r="L265" s="3285">
        <f>B278+B279</f>
        <v>2088.08</v>
      </c>
      <c r="M265" s="3289" t="s">
        <v>3651</v>
      </c>
    </row>
    <row r="266" spans="1:13">
      <c r="A266" s="3282" t="s">
        <v>3598</v>
      </c>
      <c r="B266" s="3284">
        <v>917.07</v>
      </c>
      <c r="C266" s="3282" t="s">
        <v>3589</v>
      </c>
      <c r="E266" s="3282" t="s">
        <v>3590</v>
      </c>
      <c r="J266" s="3285" t="str">
        <f>A280</f>
        <v>33层(33)</v>
      </c>
      <c r="K266" s="3285"/>
      <c r="L266" s="3285">
        <f>B281+B282</f>
        <v>2088.08</v>
      </c>
      <c r="M266" s="3289" t="s">
        <v>3651</v>
      </c>
    </row>
    <row r="267" spans="1:13">
      <c r="A267" s="3282" t="s">
        <v>3599</v>
      </c>
      <c r="B267" s="3284">
        <v>1165.96</v>
      </c>
      <c r="C267" s="3282" t="s">
        <v>3592</v>
      </c>
      <c r="E267" s="3282" t="s">
        <v>3593</v>
      </c>
      <c r="J267" s="3285" t="str">
        <f>A283</f>
        <v>34层(34)</v>
      </c>
      <c r="K267" s="3285"/>
      <c r="L267" s="3285">
        <f>B284</f>
        <v>375.02</v>
      </c>
      <c r="M267" s="3290" t="s">
        <v>3649</v>
      </c>
    </row>
    <row r="268" spans="1:13">
      <c r="A268" s="3282" t="s">
        <v>3600</v>
      </c>
      <c r="J268" s="3285" t="str">
        <f>A285</f>
        <v>35层(35)</v>
      </c>
      <c r="K268" s="3285"/>
      <c r="L268" s="3285">
        <f>B286</f>
        <v>3484.15</v>
      </c>
      <c r="M268" s="3290" t="s">
        <v>3649</v>
      </c>
    </row>
    <row r="269" spans="1:13">
      <c r="A269" s="3282" t="s">
        <v>3601</v>
      </c>
      <c r="B269" s="3284">
        <v>919.84</v>
      </c>
      <c r="C269" s="3282" t="s">
        <v>3602</v>
      </c>
      <c r="E269" s="3282" t="s">
        <v>3603</v>
      </c>
      <c r="J269" s="3286" t="s">
        <v>3652</v>
      </c>
      <c r="K269" s="3285"/>
      <c r="L269" s="3285">
        <f>SUM(L3:L268)</f>
        <v>70117.27</v>
      </c>
      <c r="M269" s="3285"/>
    </row>
    <row r="270" spans="1:13">
      <c r="A270" s="3282" t="s">
        <v>3604</v>
      </c>
      <c r="B270" s="3284">
        <v>1168.24</v>
      </c>
      <c r="C270" s="3282" t="s">
        <v>3605</v>
      </c>
      <c r="E270" s="3282" t="s">
        <v>3606</v>
      </c>
    </row>
    <row r="271" spans="1:13">
      <c r="A271" s="3282" t="s">
        <v>3607</v>
      </c>
      <c r="J271" s="4056" t="s">
        <v>3653</v>
      </c>
      <c r="K271" s="4056"/>
      <c r="L271" s="4056"/>
      <c r="M271" s="4056"/>
    </row>
    <row r="272" spans="1:13">
      <c r="A272" s="3282" t="s">
        <v>3608</v>
      </c>
      <c r="B272" s="3284">
        <v>919.84</v>
      </c>
      <c r="C272" s="3282" t="s">
        <v>3602</v>
      </c>
      <c r="E272" s="3282" t="s">
        <v>3603</v>
      </c>
      <c r="J272" s="3286" t="s">
        <v>3654</v>
      </c>
      <c r="K272" s="3285"/>
      <c r="L272" s="3285">
        <f>L6</f>
        <v>1120.93</v>
      </c>
      <c r="M272" s="3285"/>
    </row>
    <row r="273" spans="1:13">
      <c r="A273" s="3282" t="s">
        <v>3609</v>
      </c>
      <c r="B273" s="3284">
        <v>1168.24</v>
      </c>
      <c r="C273" s="3282" t="s">
        <v>3605</v>
      </c>
      <c r="E273" s="3282" t="s">
        <v>3606</v>
      </c>
      <c r="J273" s="3286" t="s">
        <v>3656</v>
      </c>
      <c r="K273" s="3285"/>
      <c r="L273" s="3285">
        <f>L5++L267+L268</f>
        <v>7816.32</v>
      </c>
      <c r="M273" s="3285"/>
    </row>
    <row r="274" spans="1:13">
      <c r="A274" s="3282" t="s">
        <v>3610</v>
      </c>
      <c r="J274" s="3287" t="s">
        <v>3655</v>
      </c>
      <c r="K274" s="3285"/>
      <c r="L274" s="3285">
        <f>SUM(L7:L266)</f>
        <v>58835.540000000008</v>
      </c>
      <c r="M274" s="3285"/>
    </row>
    <row r="275" spans="1:13">
      <c r="A275" s="3282" t="s">
        <v>3611</v>
      </c>
      <c r="B275" s="3284">
        <v>919.84</v>
      </c>
      <c r="C275" s="3282" t="s">
        <v>3602</v>
      </c>
      <c r="E275" s="3282" t="s">
        <v>3603</v>
      </c>
      <c r="J275" s="3287" t="s">
        <v>3657</v>
      </c>
      <c r="K275" s="3285"/>
      <c r="L275" s="3285">
        <f>L3+L4</f>
        <v>2344.4799999999996</v>
      </c>
      <c r="M275" s="3285"/>
    </row>
    <row r="276" spans="1:13">
      <c r="A276" s="3282" t="s">
        <v>3612</v>
      </c>
      <c r="B276" s="3284">
        <v>1168.24</v>
      </c>
      <c r="C276" s="3282" t="s">
        <v>3605</v>
      </c>
      <c r="E276" s="3282" t="s">
        <v>3606</v>
      </c>
      <c r="J276" s="3286" t="s">
        <v>3658</v>
      </c>
      <c r="K276" s="3282"/>
      <c r="L276" s="3285">
        <f>L275+L274+L273+L272</f>
        <v>70117.26999999999</v>
      </c>
      <c r="M276" s="3282"/>
    </row>
    <row r="277" spans="1:13">
      <c r="A277" s="3282" t="s">
        <v>3613</v>
      </c>
    </row>
    <row r="278" spans="1:13">
      <c r="A278" s="3282" t="s">
        <v>3614</v>
      </c>
      <c r="B278" s="3284">
        <v>919.84</v>
      </c>
      <c r="C278" s="3282" t="s">
        <v>3602</v>
      </c>
      <c r="E278" s="3282" t="s">
        <v>3603</v>
      </c>
    </row>
    <row r="279" spans="1:13">
      <c r="A279" s="3282" t="s">
        <v>3615</v>
      </c>
      <c r="B279" s="3284">
        <v>1168.24</v>
      </c>
      <c r="C279" s="3282" t="s">
        <v>3605</v>
      </c>
      <c r="E279" s="3282" t="s">
        <v>3606</v>
      </c>
    </row>
    <row r="280" spans="1:13">
      <c r="A280" s="3282" t="s">
        <v>3616</v>
      </c>
    </row>
    <row r="281" spans="1:13">
      <c r="A281" s="3282" t="s">
        <v>3617</v>
      </c>
      <c r="B281" s="3284">
        <v>919.84</v>
      </c>
      <c r="C281" s="3282" t="s">
        <v>3602</v>
      </c>
      <c r="E281" s="3282" t="s">
        <v>3603</v>
      </c>
    </row>
    <row r="282" spans="1:13">
      <c r="A282" s="3282" t="s">
        <v>3618</v>
      </c>
      <c r="B282" s="3284">
        <v>1168.24</v>
      </c>
      <c r="C282" s="3282" t="s">
        <v>3605</v>
      </c>
      <c r="E282" s="3282" t="s">
        <v>3606</v>
      </c>
    </row>
    <row r="283" spans="1:13">
      <c r="A283" s="3282" t="s">
        <v>3619</v>
      </c>
    </row>
    <row r="284" spans="1:13">
      <c r="A284" s="3282" t="s">
        <v>3620</v>
      </c>
      <c r="B284" s="3284">
        <v>375.02</v>
      </c>
      <c r="C284" s="3282" t="s">
        <v>3621</v>
      </c>
      <c r="E284" s="3282" t="s">
        <v>3622</v>
      </c>
    </row>
    <row r="285" spans="1:13">
      <c r="A285" s="3282" t="s">
        <v>3623</v>
      </c>
    </row>
    <row r="286" spans="1:13">
      <c r="A286" s="3282" t="s">
        <v>3624</v>
      </c>
      <c r="B286" s="3284">
        <v>3484.15</v>
      </c>
      <c r="C286" s="3282" t="s">
        <v>3625</v>
      </c>
      <c r="E286" s="3282" t="s">
        <v>3626</v>
      </c>
    </row>
    <row r="294" spans="1:5">
      <c r="A294" s="3282" t="s">
        <v>3634</v>
      </c>
      <c r="B294" s="3282">
        <v>17548.560000000001</v>
      </c>
      <c r="C294" s="3282">
        <v>12087.87</v>
      </c>
      <c r="E294" s="3282">
        <v>5460.69</v>
      </c>
    </row>
    <row r="295" spans="1:5">
      <c r="A295" s="3282" t="s">
        <v>3635</v>
      </c>
    </row>
  </sheetData>
  <mergeCells count="4">
    <mergeCell ref="J271:M271"/>
    <mergeCell ref="J1:M1"/>
    <mergeCell ref="Q1:U1"/>
    <mergeCell ref="Q7:S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topLeftCell="A24" workbookViewId="0">
      <selection activeCell="M77" sqref="M77"/>
    </sheetView>
  </sheetViews>
  <sheetFormatPr defaultRowHeight="13.5"/>
  <sheetData>
    <row r="1" spans="1:1">
      <c r="A1" s="3283" t="s">
        <v>3822</v>
      </c>
    </row>
    <row r="32" spans="1:1">
      <c r="A32" s="3283" t="s">
        <v>3823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8" t="s">
        <v>1664</v>
      </c>
      <c r="B1" s="3688"/>
      <c r="C1" s="3688"/>
      <c r="D1" s="3688"/>
    </row>
    <row r="2" spans="1:4" ht="18">
      <c r="A2" s="3689" t="s">
        <v>1648</v>
      </c>
      <c r="B2" s="3689"/>
      <c r="C2" s="3689"/>
      <c r="D2" s="3689"/>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9" t="s">
        <v>1654</v>
      </c>
      <c r="B6" s="3689"/>
      <c r="C6" s="3689"/>
      <c r="D6" s="3689"/>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90" t="s">
        <v>1657</v>
      </c>
      <c r="B11" s="3682"/>
      <c r="C11" s="3682"/>
      <c r="D11" s="3682"/>
    </row>
    <row r="12" spans="1:4" ht="15.75">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7"/>
      <c r="C12" s="3687"/>
      <c r="D12" s="3687"/>
    </row>
    <row r="13" spans="1:4" ht="30" customHeight="1">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7"/>
      <c r="C13" s="3687"/>
      <c r="D13" s="3687"/>
    </row>
    <row r="14" spans="1:4" ht="15.75" customHeight="1">
      <c r="A14" s="3682" t="str">
        <f>IF(项目基本情况!B8="抵押","4.本次评估估价师所知悉的法定优先受偿款情况说明如下：","——")</f>
        <v>4.本次评估估价师所知悉的法定优先受偿款情况说明如下：</v>
      </c>
      <c r="B14" s="3687"/>
      <c r="C14" s="3687"/>
      <c r="D14" s="3687"/>
    </row>
    <row r="15" spans="1:4" ht="42" customHeight="1">
      <c r="A15" s="368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82"/>
      <c r="C15" s="3682"/>
      <c r="D15" s="3682"/>
    </row>
    <row r="16" spans="1:4" ht="30" customHeight="1">
      <c r="A16" s="3684" t="s">
        <v>1658</v>
      </c>
      <c r="B16" s="3684"/>
      <c r="C16" s="3684"/>
      <c r="D16" s="3684"/>
    </row>
    <row r="17" spans="1:4" ht="144" customHeight="1">
      <c r="A17" s="3684" t="s">
        <v>1659</v>
      </c>
      <c r="B17" s="3684"/>
      <c r="C17" s="3684"/>
      <c r="D17" s="3684"/>
    </row>
    <row r="18" spans="1:4" ht="15.75" customHeight="1">
      <c r="A18" s="3682" t="str">
        <f>IF(项目基本情况!B8="抵押",结果表!K120,"——")</f>
        <v>故，本次评估不存在估价师知悉的法定优先受偿款</v>
      </c>
      <c r="B18" s="3682"/>
      <c r="C18" s="3682"/>
      <c r="D18" s="3682"/>
    </row>
    <row r="19" spans="1:4" ht="46.5" customHeight="1">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spans="1:4" ht="57.75" customHeight="1">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spans="1:4" ht="57.75" customHeight="1">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spans="1:4" ht="18.75" customHeight="1">
      <c r="A22" s="3686" t="s">
        <v>1660</v>
      </c>
      <c r="B22" s="3686"/>
      <c r="C22" s="3686"/>
      <c r="D22" s="3686"/>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83">
        <v>42551</v>
      </c>
      <c r="D31" s="36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96" t="s">
        <v>1671</v>
      </c>
      <c r="B15" s="3691" t="s">
        <v>136</v>
      </c>
      <c r="C15" s="3692"/>
    </row>
    <row r="16" spans="1:7" ht="13.5">
      <c r="A16" s="3697"/>
      <c r="B16" s="3691" t="s">
        <v>69</v>
      </c>
      <c r="C16" s="3692"/>
    </row>
    <row r="17" spans="1:3" ht="13.5">
      <c r="A17" s="3697"/>
      <c r="B17" s="3694" t="s">
        <v>1672</v>
      </c>
      <c r="C17" s="2000" t="s">
        <v>1671</v>
      </c>
    </row>
    <row r="18" spans="1:3" ht="13.5">
      <c r="A18" s="3697"/>
      <c r="B18" s="3694"/>
      <c r="C18" s="2000" t="s">
        <v>1673</v>
      </c>
    </row>
    <row r="19" spans="1:3" ht="13.5">
      <c r="A19" s="3697"/>
      <c r="B19" s="3694"/>
      <c r="C19" s="2000" t="s">
        <v>1674</v>
      </c>
    </row>
    <row r="20" spans="1:3" ht="13.5">
      <c r="A20" s="3698"/>
      <c r="B20" s="3693" t="s">
        <v>1675</v>
      </c>
      <c r="C20" s="3692"/>
    </row>
    <row r="21" spans="1:3" ht="13.5">
      <c r="A21" s="2001" t="s">
        <v>1676</v>
      </c>
      <c r="B21" s="2002"/>
      <c r="C21" s="2003"/>
    </row>
    <row r="22" spans="1:3" ht="13.5">
      <c r="A22" s="3695" t="s">
        <v>1677</v>
      </c>
      <c r="B22" s="3693" t="s">
        <v>1678</v>
      </c>
      <c r="C22" s="3692"/>
    </row>
    <row r="23" spans="1:3" ht="13.5">
      <c r="A23" s="3695"/>
      <c r="B23" s="3693" t="s">
        <v>1679</v>
      </c>
      <c r="C23" s="3692"/>
    </row>
    <row r="24" spans="1:3" ht="13.5">
      <c r="A24" s="3695"/>
      <c r="B24" s="3693" t="s">
        <v>1680</v>
      </c>
      <c r="C24" s="3692"/>
    </row>
    <row r="25" spans="1:3" ht="13.5">
      <c r="A25" s="3695"/>
      <c r="B25" s="3694" t="s">
        <v>1681</v>
      </c>
      <c r="C25" s="2000" t="s">
        <v>1682</v>
      </c>
    </row>
    <row r="26" spans="1:3" ht="13.5">
      <c r="A26" s="3695"/>
      <c r="B26" s="3694"/>
      <c r="C26" s="2000" t="s">
        <v>1683</v>
      </c>
    </row>
    <row r="27" spans="1:3" ht="13.5">
      <c r="A27" s="3695"/>
      <c r="B27" s="3694"/>
      <c r="C27" s="2000" t="s">
        <v>1684</v>
      </c>
    </row>
    <row r="28" spans="1:3" ht="13.5">
      <c r="A28" s="3695"/>
      <c r="B28" s="3694"/>
      <c r="C28" s="2000" t="s">
        <v>1685</v>
      </c>
    </row>
    <row r="29" spans="1:3" ht="13.5">
      <c r="A29" s="3695"/>
      <c r="B29" s="3694"/>
      <c r="C29" s="2000" t="s">
        <v>1686</v>
      </c>
    </row>
    <row r="30" spans="1:3" ht="13.5">
      <c r="A30" s="3695"/>
      <c r="B30" s="3694"/>
      <c r="C30" s="2000" t="s">
        <v>1687</v>
      </c>
    </row>
    <row r="31" spans="1:3" ht="13.5">
      <c r="A31" s="3695"/>
      <c r="B31" s="3694"/>
      <c r="C31" s="2000" t="s">
        <v>1688</v>
      </c>
    </row>
    <row r="32" spans="1:3" ht="13.5">
      <c r="A32" s="3695"/>
      <c r="B32" s="3694"/>
      <c r="C32" s="2000" t="s">
        <v>1689</v>
      </c>
    </row>
    <row r="33" spans="1:3" ht="13.5">
      <c r="A33" s="3695"/>
      <c r="B33" s="3694"/>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43112</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9" t="s">
        <v>846</v>
      </c>
      <c r="B25" s="3699"/>
      <c r="C25" s="3699"/>
      <c r="D25" s="3699"/>
      <c r="E25" s="3699"/>
      <c r="F25" s="3699"/>
      <c r="G25" s="3699"/>
    </row>
    <row r="26" spans="1:7" s="1024" customFormat="1" ht="24" customHeight="1">
      <c r="A26" s="3700" t="s">
        <v>847</v>
      </c>
      <c r="B26" s="3700"/>
      <c r="C26" s="3701"/>
      <c r="D26" s="3702" t="s">
        <v>848</v>
      </c>
      <c r="E26" s="3700"/>
      <c r="F26" s="3700"/>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6" priority="55">
      <formula>AND($C28-TODAY()&lt;30,TODAY()&lt;$C28)</formula>
    </cfRule>
  </conditionalFormatting>
  <conditionalFormatting sqref="C28 F4">
    <cfRule type="cellIs" dxfId="245" priority="57" stopIfTrue="1" operator="lessThan">
      <formula>$B$2</formula>
    </cfRule>
  </conditionalFormatting>
  <conditionalFormatting sqref="C5">
    <cfRule type="expression" dxfId="244" priority="52">
      <formula>AND($C5-TODAY()&lt;30,TODAY()&lt;$C5)</formula>
    </cfRule>
  </conditionalFormatting>
  <conditionalFormatting sqref="C5 F5">
    <cfRule type="cellIs" dxfId="243" priority="53" stopIfTrue="1" operator="lessThan">
      <formula>$B$2</formula>
    </cfRule>
  </conditionalFormatting>
  <conditionalFormatting sqref="F6 F8 F10">
    <cfRule type="cellIs" dxfId="242" priority="51" stopIfTrue="1" operator="lessThan">
      <formula>$B$2</formula>
    </cfRule>
  </conditionalFormatting>
  <conditionalFormatting sqref="C4:C23">
    <cfRule type="expression" dxfId="241" priority="49">
      <formula>AND($C4-TODAY()&lt;30,TODAY()&lt;$C4)</formula>
    </cfRule>
  </conditionalFormatting>
  <conditionalFormatting sqref="F7 F9 F11 C4:C23">
    <cfRule type="cellIs" dxfId="240" priority="50" stopIfTrue="1" operator="lessThan">
      <formula>$B$2</formula>
    </cfRule>
  </conditionalFormatting>
  <conditionalFormatting sqref="C12">
    <cfRule type="expression" dxfId="239" priority="47">
      <formula>AND($C12-TODAY()&lt;30,TODAY()&lt;$C12)</formula>
    </cfRule>
  </conditionalFormatting>
  <conditionalFormatting sqref="C12">
    <cfRule type="cellIs" dxfId="238" priority="48" stopIfTrue="1" operator="lessThan">
      <formula>$B$2</formula>
    </cfRule>
  </conditionalFormatting>
  <conditionalFormatting sqref="C14">
    <cfRule type="expression" dxfId="237" priority="43">
      <formula>AND($C14-TODAY()&lt;30,TODAY()&lt;$C14)</formula>
    </cfRule>
  </conditionalFormatting>
  <conditionalFormatting sqref="C14">
    <cfRule type="cellIs" dxfId="236" priority="44" stopIfTrue="1" operator="lessThan">
      <formula>$B$2</formula>
    </cfRule>
  </conditionalFormatting>
  <conditionalFormatting sqref="C16">
    <cfRule type="expression" dxfId="235" priority="41">
      <formula>AND($C16-TODAY()&lt;30,TODAY()&lt;$C16)</formula>
    </cfRule>
  </conditionalFormatting>
  <conditionalFormatting sqref="C16">
    <cfRule type="cellIs" dxfId="234" priority="42" stopIfTrue="1" operator="lessThan">
      <formula>$B$2</formula>
    </cfRule>
  </conditionalFormatting>
  <conditionalFormatting sqref="C18">
    <cfRule type="expression" dxfId="233" priority="39">
      <formula>AND($C18-TODAY()&lt;30,TODAY()&lt;$C18)</formula>
    </cfRule>
  </conditionalFormatting>
  <conditionalFormatting sqref="C18">
    <cfRule type="cellIs" dxfId="232" priority="40" stopIfTrue="1" operator="lessThan">
      <formula>$B$2</formula>
    </cfRule>
  </conditionalFormatting>
  <conditionalFormatting sqref="C20">
    <cfRule type="expression" dxfId="231" priority="37">
      <formula>AND($C20-TODAY()&lt;30,TODAY()&lt;$C20)</formula>
    </cfRule>
  </conditionalFormatting>
  <conditionalFormatting sqref="C20">
    <cfRule type="cellIs" dxfId="230" priority="38" stopIfTrue="1" operator="lessThan">
      <formula>$B$2</formula>
    </cfRule>
  </conditionalFormatting>
  <conditionalFormatting sqref="C22">
    <cfRule type="expression" dxfId="229" priority="35">
      <formula>AND($C22-TODAY()&lt;30,TODAY()&lt;$C22)</formula>
    </cfRule>
  </conditionalFormatting>
  <conditionalFormatting sqref="C22">
    <cfRule type="cellIs" dxfId="228" priority="36" stopIfTrue="1" operator="lessThan">
      <formula>$B$2</formula>
    </cfRule>
  </conditionalFormatting>
  <conditionalFormatting sqref="C15">
    <cfRule type="expression" dxfId="227" priority="33">
      <formula>AND($C15-TODAY()&lt;30,TODAY()&lt;$C15)</formula>
    </cfRule>
  </conditionalFormatting>
  <conditionalFormatting sqref="C15">
    <cfRule type="cellIs" dxfId="226" priority="34" stopIfTrue="1" operator="lessThan">
      <formula>$B$2</formula>
    </cfRule>
  </conditionalFormatting>
  <conditionalFormatting sqref="C17">
    <cfRule type="expression" dxfId="225" priority="31">
      <formula>AND($C17-TODAY()&lt;30,TODAY()&lt;$C17)</formula>
    </cfRule>
  </conditionalFormatting>
  <conditionalFormatting sqref="C17">
    <cfRule type="cellIs" dxfId="224" priority="32" stopIfTrue="1" operator="lessThan">
      <formula>$B$2</formula>
    </cfRule>
  </conditionalFormatting>
  <conditionalFormatting sqref="C19">
    <cfRule type="expression" dxfId="223" priority="29">
      <formula>AND($C19-TODAY()&lt;30,TODAY()&lt;$C19)</formula>
    </cfRule>
  </conditionalFormatting>
  <conditionalFormatting sqref="C19">
    <cfRule type="cellIs" dxfId="222" priority="30" stopIfTrue="1" operator="lessThan">
      <formula>$B$2</formula>
    </cfRule>
  </conditionalFormatting>
  <conditionalFormatting sqref="C21">
    <cfRule type="expression" dxfId="221" priority="27">
      <formula>AND($C21-TODAY()&lt;30,TODAY()&lt;$C21)</formula>
    </cfRule>
  </conditionalFormatting>
  <conditionalFormatting sqref="C21">
    <cfRule type="cellIs" dxfId="220" priority="28" stopIfTrue="1" operator="lessThan">
      <formula>$B$2</formula>
    </cfRule>
  </conditionalFormatting>
  <conditionalFormatting sqref="C23">
    <cfRule type="expression" dxfId="219" priority="25">
      <formula>AND($C23-TODAY()&lt;30,TODAY()&lt;$C23)</formula>
    </cfRule>
  </conditionalFormatting>
  <conditionalFormatting sqref="C23">
    <cfRule type="cellIs" dxfId="218" priority="26" stopIfTrue="1" operator="lessThan">
      <formula>$B$2</formula>
    </cfRule>
  </conditionalFormatting>
  <conditionalFormatting sqref="F16">
    <cfRule type="cellIs" dxfId="217" priority="23" stopIfTrue="1" operator="lessThan">
      <formula>$B$2</formula>
    </cfRule>
  </conditionalFormatting>
  <conditionalFormatting sqref="F18">
    <cfRule type="cellIs" dxfId="216" priority="22" stopIfTrue="1" operator="lessThan">
      <formula>$B$2</formula>
    </cfRule>
  </conditionalFormatting>
  <conditionalFormatting sqref="F22">
    <cfRule type="cellIs" dxfId="215" priority="21" stopIfTrue="1" operator="lessThan">
      <formula>$B$2</formula>
    </cfRule>
  </conditionalFormatting>
  <conditionalFormatting sqref="F21">
    <cfRule type="cellIs" dxfId="214" priority="20" stopIfTrue="1" operator="lessThan">
      <formula>$B$2</formula>
    </cfRule>
  </conditionalFormatting>
  <conditionalFormatting sqref="F17">
    <cfRule type="cellIs" dxfId="213" priority="19" stopIfTrue="1" operator="lessThan">
      <formula>$B$2</formula>
    </cfRule>
  </conditionalFormatting>
  <conditionalFormatting sqref="B4:B14 E4:E14 B16:B23 E16:E23">
    <cfRule type="cellIs" dxfId="212" priority="18" stopIfTrue="1" operator="equal">
      <formula>"已过期"</formula>
    </cfRule>
  </conditionalFormatting>
  <conditionalFormatting sqref="A24:F24">
    <cfRule type="cellIs" dxfId="211" priority="14" stopIfTrue="1" operator="equal">
      <formula>"已过期"</formula>
    </cfRule>
  </conditionalFormatting>
  <conditionalFormatting sqref="F28">
    <cfRule type="expression" dxfId="210" priority="12">
      <formula>AND($E28-TODAY()&lt;30,TODAY()&lt;$E28)</formula>
    </cfRule>
  </conditionalFormatting>
  <conditionalFormatting sqref="F28">
    <cfRule type="cellIs" dxfId="209" priority="13" stopIfTrue="1" operator="lessThan">
      <formula>$B$2</formula>
    </cfRule>
  </conditionalFormatting>
  <conditionalFormatting sqref="F29">
    <cfRule type="expression" dxfId="208" priority="8" stopIfTrue="1">
      <formula>AND($E29-TODAY()&lt;30,TODAY()&lt;$E29)</formula>
    </cfRule>
  </conditionalFormatting>
  <conditionalFormatting sqref="F29">
    <cfRule type="cellIs" dxfId="207" priority="9" stopIfTrue="1" operator="lessThan">
      <formula>$B$2</formula>
    </cfRule>
  </conditionalFormatting>
  <conditionalFormatting sqref="B15">
    <cfRule type="cellIs" dxfId="206" priority="6" stopIfTrue="1" operator="equal">
      <formula>"已过期"</formula>
    </cfRule>
  </conditionalFormatting>
  <conditionalFormatting sqref="A15">
    <cfRule type="cellIs" dxfId="205" priority="5" stopIfTrue="1" operator="equal">
      <formula>"已过期"</formula>
    </cfRule>
  </conditionalFormatting>
  <conditionalFormatting sqref="C15">
    <cfRule type="expression" dxfId="204" priority="4">
      <formula>AND($C15-TODAY()&lt;30,TODAY()&lt;$C15)</formula>
    </cfRule>
  </conditionalFormatting>
  <conditionalFormatting sqref="E15">
    <cfRule type="cellIs" dxfId="203" priority="3" stopIfTrue="1" operator="equal">
      <formula>"已过期"</formula>
    </cfRule>
  </conditionalFormatting>
  <conditionalFormatting sqref="D15">
    <cfRule type="cellIs" dxfId="202" priority="2" stopIfTrue="1" operator="equal">
      <formula>"已过期"</formula>
    </cfRule>
  </conditionalFormatting>
  <conditionalFormatting sqref="F13">
    <cfRule type="cellIs" dxfId="20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178</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vt:lpstr>
      <vt:lpstr>假设开发法</vt:lpstr>
      <vt:lpstr>基准地价修正 (2)</vt:lpstr>
      <vt:lpstr>收益法 (元)</vt:lpstr>
      <vt:lpstr>收益法（汇总）</vt:lpstr>
      <vt:lpstr>酒店收入计算</vt:lpstr>
      <vt:lpstr>比较法-商业</vt:lpstr>
      <vt:lpstr>收益法办公</vt:lpstr>
      <vt:lpstr>比较法-办公 (租金)</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2018-01-12T02:46:24Z</dcterms:modified>
</cp:coreProperties>
</file>